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21" documentId="13_ncr:1_{670443DE-6CB3-0045-8DA3-B59F8D55A0D8}" xr6:coauthVersionLast="47" xr6:coauthVersionMax="47" xr10:uidLastSave="{10485D47-A033-413D-A281-0196FB547DD8}"/>
  <bookViews>
    <workbookView xWindow="-110" yWindow="-110" windowWidth="19420" windowHeight="10300" tabRatio="904" activeTab="1" xr2:uid="{00000000-000D-0000-FFFF-FFFF00000000}"/>
  </bookViews>
  <sheets>
    <sheet name="1) Initial data (optional)" sheetId="1" r:id="rId1"/>
    <sheet name="2) Final Dat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0" i="1" l="1"/>
  <c r="AN80" i="1"/>
  <c r="AM80" i="1"/>
  <c r="AL80" i="1"/>
  <c r="AK80" i="1"/>
  <c r="AJ80" i="1"/>
  <c r="AI80" i="1"/>
  <c r="AH80" i="1"/>
  <c r="AG80" i="1"/>
  <c r="AF80" i="1"/>
  <c r="AE80" i="1"/>
  <c r="AC80" i="1"/>
  <c r="AB80" i="1"/>
  <c r="AA80" i="1"/>
  <c r="Y80" i="1"/>
  <c r="X80" i="1"/>
  <c r="W80" i="1"/>
  <c r="AP48" i="1"/>
  <c r="AO48" i="1"/>
  <c r="AN48" i="1"/>
  <c r="AM48" i="1"/>
  <c r="AL48" i="1"/>
  <c r="AK48" i="1"/>
  <c r="AJ48" i="1"/>
  <c r="AI48" i="1"/>
  <c r="AH48" i="1"/>
  <c r="AG48" i="1"/>
  <c r="AF48" i="1"/>
  <c r="AE48" i="1"/>
  <c r="AD48" i="1"/>
  <c r="AC48" i="1"/>
  <c r="AB48" i="1"/>
  <c r="AA48" i="1"/>
  <c r="Z48" i="1"/>
  <c r="Y48" i="1"/>
  <c r="X48" i="1"/>
  <c r="W48" i="1"/>
  <c r="AP47" i="1"/>
  <c r="AO47" i="1"/>
  <c r="AN47" i="1"/>
  <c r="AM47" i="1"/>
  <c r="AL47" i="1"/>
  <c r="AK47" i="1"/>
  <c r="AJ47" i="1"/>
  <c r="AI47" i="1"/>
  <c r="AH47" i="1"/>
  <c r="AG47" i="1"/>
  <c r="AF47" i="1"/>
  <c r="AE47" i="1"/>
  <c r="AD47" i="1"/>
  <c r="AC47" i="1"/>
  <c r="AB47" i="1"/>
  <c r="AA47" i="1"/>
  <c r="Z47" i="1"/>
  <c r="Y47" i="1"/>
  <c r="X47" i="1"/>
  <c r="W47" i="1"/>
  <c r="AP45" i="1"/>
  <c r="AO45" i="1"/>
  <c r="AN45" i="1"/>
  <c r="AM45" i="1"/>
  <c r="AL45" i="1"/>
  <c r="AK45" i="1"/>
  <c r="AJ45" i="1"/>
  <c r="AI45" i="1"/>
  <c r="AH45" i="1"/>
  <c r="AG45" i="1"/>
  <c r="AF45" i="1"/>
  <c r="AE45" i="1"/>
  <c r="AD45" i="1"/>
  <c r="AC45" i="1"/>
  <c r="AB45" i="1"/>
  <c r="AA45" i="1"/>
  <c r="Z45" i="1"/>
  <c r="Y45" i="1"/>
  <c r="X45" i="1"/>
  <c r="W45" i="1"/>
  <c r="AP43" i="1"/>
  <c r="AO43" i="1"/>
  <c r="AN43" i="1"/>
  <c r="AM43" i="1"/>
  <c r="AL43" i="1"/>
  <c r="AK43" i="1"/>
  <c r="AJ43" i="1"/>
  <c r="AI43" i="1"/>
  <c r="AH43" i="1"/>
  <c r="AG43" i="1"/>
  <c r="AF43" i="1"/>
  <c r="AE43" i="1"/>
  <c r="AD43" i="1"/>
  <c r="AC43" i="1"/>
  <c r="AB43" i="1"/>
  <c r="AA43" i="1"/>
  <c r="Z43" i="1"/>
  <c r="Y43" i="1"/>
  <c r="X43" i="1"/>
  <c r="W43" i="1"/>
  <c r="AP42" i="1"/>
  <c r="AO42" i="1"/>
  <c r="AN42" i="1"/>
  <c r="AM42" i="1"/>
  <c r="AL42" i="1"/>
  <c r="AK42" i="1"/>
  <c r="AJ42" i="1"/>
  <c r="AI42" i="1"/>
  <c r="AH42" i="1"/>
  <c r="AG42" i="1"/>
  <c r="AF42" i="1"/>
  <c r="AE42" i="1"/>
  <c r="AD42" i="1"/>
  <c r="AC42" i="1"/>
  <c r="AB42" i="1"/>
  <c r="AA42" i="1"/>
  <c r="Z42" i="1"/>
  <c r="Y42" i="1"/>
  <c r="X42" i="1"/>
  <c r="W42" i="1"/>
  <c r="AP38" i="1"/>
  <c r="AO38" i="1"/>
  <c r="AN38" i="1"/>
  <c r="AM38" i="1"/>
  <c r="AL38" i="1"/>
  <c r="AK38" i="1"/>
  <c r="AJ38" i="1"/>
  <c r="AI38" i="1"/>
  <c r="AH38" i="1"/>
  <c r="AG38" i="1"/>
  <c r="AF38" i="1"/>
  <c r="AE38" i="1"/>
  <c r="AD38" i="1"/>
  <c r="AC38" i="1"/>
  <c r="AB38" i="1"/>
  <c r="AA38" i="1"/>
  <c r="Y38" i="1"/>
  <c r="X38" i="1"/>
  <c r="W38" i="1"/>
  <c r="AP37" i="1"/>
  <c r="AO37" i="1"/>
  <c r="AN37" i="1"/>
  <c r="AM37" i="1"/>
  <c r="AL37" i="1"/>
  <c r="AK37" i="1"/>
  <c r="AJ37" i="1"/>
  <c r="AI37" i="1"/>
  <c r="AH37" i="1"/>
  <c r="AG37" i="1"/>
  <c r="AF37" i="1"/>
  <c r="AE37" i="1"/>
  <c r="AD37" i="1"/>
  <c r="AC37" i="1"/>
  <c r="AB37" i="1"/>
  <c r="AA37" i="1"/>
  <c r="Y37" i="1"/>
  <c r="X37" i="1"/>
  <c r="W37" i="1"/>
  <c r="AP35" i="1"/>
  <c r="AO35" i="1"/>
  <c r="AN35" i="1"/>
  <c r="AM35" i="1"/>
  <c r="AL35" i="1"/>
  <c r="AK35" i="1"/>
  <c r="AJ35" i="1"/>
  <c r="AI35" i="1"/>
  <c r="AH35" i="1"/>
  <c r="AG35" i="1"/>
  <c r="AF35" i="1"/>
  <c r="AE35" i="1"/>
  <c r="AD35" i="1"/>
  <c r="AC35" i="1"/>
  <c r="AB35" i="1"/>
  <c r="AA35" i="1"/>
  <c r="Y35" i="1"/>
  <c r="X35" i="1"/>
  <c r="W35" i="1"/>
  <c r="AP33" i="1"/>
  <c r="AO33" i="1"/>
  <c r="AN33" i="1"/>
  <c r="AM33" i="1"/>
  <c r="AL33" i="1"/>
  <c r="AK33" i="1"/>
  <c r="AJ33" i="1"/>
  <c r="AI33" i="1"/>
  <c r="AH33" i="1"/>
  <c r="AG33" i="1"/>
  <c r="AF33" i="1"/>
  <c r="AE33" i="1"/>
  <c r="AD33" i="1"/>
  <c r="AC33" i="1"/>
  <c r="AB33" i="1"/>
  <c r="AA33" i="1"/>
  <c r="Y33" i="1"/>
  <c r="X33" i="1"/>
  <c r="W33" i="1"/>
  <c r="AP32" i="1"/>
  <c r="AO32" i="1"/>
  <c r="AN32" i="1"/>
  <c r="AM32" i="1"/>
  <c r="AL32" i="1"/>
  <c r="AK32" i="1"/>
  <c r="AJ32" i="1"/>
  <c r="AI32" i="1"/>
  <c r="AH32" i="1"/>
  <c r="AG32" i="1"/>
  <c r="AF32" i="1"/>
  <c r="AE32" i="1"/>
  <c r="AD32" i="1"/>
  <c r="AC32" i="1"/>
  <c r="AB32" i="1"/>
  <c r="AA32" i="1"/>
  <c r="Y32" i="1"/>
  <c r="X32" i="1"/>
  <c r="W32" i="1"/>
  <c r="AM30" i="1"/>
  <c r="AM28" i="1" s="1"/>
  <c r="AL30" i="1"/>
  <c r="AL28" i="1" s="1"/>
  <c r="AF30" i="1"/>
  <c r="AF28" i="1" s="1"/>
  <c r="AE30" i="1"/>
  <c r="AE28" i="1" s="1"/>
  <c r="AP28" i="1"/>
  <c r="AO28" i="1"/>
  <c r="AN28" i="1"/>
  <c r="AK28" i="1"/>
  <c r="AJ28" i="1"/>
  <c r="AI28" i="1"/>
  <c r="AH28" i="1"/>
  <c r="AG28" i="1"/>
  <c r="AD28" i="1"/>
  <c r="AC28" i="1"/>
  <c r="AB28" i="1"/>
  <c r="AA28" i="1"/>
  <c r="Z28" i="1"/>
  <c r="Y28" i="1"/>
  <c r="X28" i="1"/>
  <c r="W28" i="1"/>
  <c r="W13" i="1"/>
  <c r="AP11" i="1"/>
  <c r="AO11" i="1"/>
  <c r="AN11" i="1"/>
  <c r="AM11" i="1"/>
  <c r="AL11" i="1"/>
  <c r="AK11" i="1"/>
  <c r="AJ11" i="1"/>
  <c r="AI11" i="1"/>
  <c r="AH11" i="1"/>
  <c r="AG11" i="1"/>
  <c r="AF11" i="1"/>
  <c r="AE11" i="1"/>
  <c r="AD11" i="1"/>
  <c r="AC11" i="1"/>
  <c r="AA11" i="1"/>
  <c r="Z11" i="1"/>
  <c r="W11" i="1"/>
  <c r="F173" i="5"/>
  <c r="G43" i="1"/>
  <c r="G47" i="1"/>
  <c r="G48" i="1"/>
  <c r="G45" i="1"/>
  <c r="G42" i="1"/>
  <c r="S37" i="1"/>
  <c r="N38" i="1"/>
  <c r="N37" i="1"/>
  <c r="N35" i="1"/>
  <c r="N33" i="1"/>
  <c r="N32" i="1"/>
  <c r="E41" i="5"/>
  <c r="V54" i="1"/>
  <c r="V48" i="1"/>
  <c r="V47" i="1"/>
  <c r="V45" i="1"/>
  <c r="V43" i="1"/>
  <c r="V42" i="1"/>
  <c r="V35" i="1"/>
  <c r="V33" i="1"/>
  <c r="V32" i="1"/>
  <c r="V38" i="1"/>
  <c r="V37" i="1"/>
  <c r="V11" i="1"/>
  <c r="U54" i="1"/>
  <c r="U48" i="1"/>
  <c r="U47" i="1"/>
  <c r="U45" i="1"/>
  <c r="U43" i="1"/>
  <c r="U42" i="1"/>
  <c r="U38" i="1"/>
  <c r="U37" i="1"/>
  <c r="U35" i="1"/>
  <c r="U33" i="1"/>
  <c r="U32" i="1"/>
  <c r="U11" i="1"/>
  <c r="T54" i="1"/>
  <c r="T48" i="1"/>
  <c r="T47" i="1"/>
  <c r="T45" i="1"/>
  <c r="T43" i="1"/>
  <c r="T42" i="1"/>
  <c r="T38" i="1"/>
  <c r="T37" i="1"/>
  <c r="T35" i="1"/>
  <c r="T33" i="1"/>
  <c r="T32" i="1"/>
  <c r="S54" i="1"/>
  <c r="S48" i="1"/>
  <c r="S47" i="1"/>
  <c r="S45" i="1"/>
  <c r="S43" i="1"/>
  <c r="S42" i="1"/>
  <c r="S38" i="1"/>
  <c r="S35" i="1"/>
  <c r="S33" i="1"/>
  <c r="S32" i="1"/>
  <c r="S30" i="1"/>
  <c r="S28" i="1" s="1"/>
  <c r="R80" i="1"/>
  <c r="R48" i="1"/>
  <c r="R47" i="1"/>
  <c r="R45" i="1"/>
  <c r="R43" i="1"/>
  <c r="R42" i="1"/>
  <c r="R38" i="1"/>
  <c r="R37" i="1"/>
  <c r="R35" i="1"/>
  <c r="R33" i="1"/>
  <c r="R32" i="1"/>
  <c r="R30" i="1"/>
  <c r="R28" i="1" s="1"/>
  <c r="Q80" i="1"/>
  <c r="Q54" i="1"/>
  <c r="Q48" i="1"/>
  <c r="Q47" i="1"/>
  <c r="Q45" i="1"/>
  <c r="Q43" i="1"/>
  <c r="Q42" i="1"/>
  <c r="Q38" i="1"/>
  <c r="Q37" i="1"/>
  <c r="Q35" i="1"/>
  <c r="Q33" i="1"/>
  <c r="Q32" i="1"/>
  <c r="Q30" i="1"/>
  <c r="Q28" i="1" s="1"/>
  <c r="P80" i="1"/>
  <c r="P48" i="1"/>
  <c r="P47" i="1"/>
  <c r="P45" i="1"/>
  <c r="P43" i="1"/>
  <c r="P42" i="1"/>
  <c r="P38" i="1"/>
  <c r="P37" i="1"/>
  <c r="P35" i="1"/>
  <c r="P33" i="1"/>
  <c r="P32" i="1"/>
  <c r="P30" i="1"/>
  <c r="P28" i="1" s="1"/>
  <c r="P11" i="1"/>
  <c r="O54" i="1"/>
  <c r="O48" i="1"/>
  <c r="O47" i="1"/>
  <c r="O45" i="1"/>
  <c r="O43" i="1"/>
  <c r="O42" i="1"/>
  <c r="O38" i="1"/>
  <c r="O37" i="1"/>
  <c r="O35" i="1"/>
  <c r="O33" i="1"/>
  <c r="O32" i="1"/>
  <c r="O11" i="1"/>
  <c r="N54" i="1"/>
  <c r="N48" i="1"/>
  <c r="N47" i="1"/>
  <c r="N45" i="1"/>
  <c r="N43" i="1"/>
  <c r="N42" i="1"/>
  <c r="N30" i="1"/>
  <c r="M54" i="1"/>
  <c r="M48" i="1"/>
  <c r="M47" i="1"/>
  <c r="M45" i="1"/>
  <c r="M43" i="1"/>
  <c r="M42" i="1"/>
  <c r="M37" i="1"/>
  <c r="M38" i="1"/>
  <c r="M35" i="1"/>
  <c r="M33" i="1"/>
  <c r="M32" i="1"/>
  <c r="M11" i="1"/>
  <c r="L54" i="1"/>
  <c r="L48" i="1"/>
  <c r="L47" i="1"/>
  <c r="L45" i="1"/>
  <c r="L43" i="1"/>
  <c r="L42" i="1"/>
  <c r="L38" i="1"/>
  <c r="L37" i="1"/>
  <c r="L35" i="1"/>
  <c r="L33" i="1"/>
  <c r="L32" i="1"/>
  <c r="L30" i="1"/>
  <c r="L28" i="1" s="1"/>
  <c r="L11" i="1"/>
  <c r="K54" i="1"/>
  <c r="K48" i="1"/>
  <c r="K47" i="1"/>
  <c r="K45" i="1"/>
  <c r="K43" i="1"/>
  <c r="K42" i="1"/>
  <c r="K38" i="1"/>
  <c r="K37" i="1"/>
  <c r="K35" i="1"/>
  <c r="K33" i="1"/>
  <c r="K32" i="1"/>
  <c r="K11" i="1"/>
  <c r="J54" i="1"/>
  <c r="J48" i="1"/>
  <c r="J47" i="1"/>
  <c r="J45" i="1"/>
  <c r="J43" i="1"/>
  <c r="J42" i="1"/>
  <c r="J38" i="1"/>
  <c r="J37" i="1"/>
  <c r="J35" i="1"/>
  <c r="J33" i="1"/>
  <c r="J32" i="1"/>
  <c r="J11" i="1"/>
  <c r="I48" i="1"/>
  <c r="I47" i="1"/>
  <c r="I45" i="1"/>
  <c r="I43" i="1"/>
  <c r="I42" i="1"/>
  <c r="H11" i="1"/>
  <c r="E30" i="1"/>
  <c r="E28" i="1" s="1"/>
  <c r="F28" i="1"/>
  <c r="G28" i="1"/>
  <c r="H28" i="1"/>
  <c r="I28" i="1"/>
  <c r="J28" i="1"/>
  <c r="K28" i="1"/>
  <c r="M28" i="1"/>
  <c r="N28" i="1"/>
  <c r="O28" i="1"/>
  <c r="T28" i="1"/>
  <c r="U28" i="1"/>
  <c r="V28" i="1"/>
  <c r="D28" i="1"/>
  <c r="C54" i="1"/>
  <c r="E129" i="5" l="1"/>
  <c r="E71" i="5"/>
  <c r="E46" i="5"/>
  <c r="E27" i="5"/>
  <c r="E65" i="5"/>
  <c r="E101" i="5" l="1"/>
  <c r="E89" i="5"/>
  <c r="G210" i="5"/>
  <c r="G213" i="5"/>
  <c r="G214" i="5"/>
  <c r="G215" i="5"/>
  <c r="G216" i="5"/>
  <c r="G209" i="5"/>
  <c r="F210" i="5"/>
  <c r="H210" i="5" s="1"/>
  <c r="F213" i="5"/>
  <c r="H213" i="5" s="1"/>
  <c r="F214" i="5"/>
  <c r="H214" i="5" s="1"/>
  <c r="F215" i="5"/>
  <c r="H215" i="5" s="1"/>
  <c r="F216" i="5"/>
  <c r="H216" i="5" s="1"/>
  <c r="F209" i="5"/>
  <c r="H209" i="5" s="1"/>
  <c r="F174" i="5"/>
  <c r="F175" i="5"/>
  <c r="F176" i="5"/>
  <c r="F177" i="5"/>
  <c r="F178" i="5" l="1"/>
  <c r="F179" i="5" s="1"/>
  <c r="F199" i="5" s="1"/>
  <c r="E179" i="5"/>
  <c r="E187" i="5" s="1"/>
  <c r="E199" i="5" l="1"/>
  <c r="E184" i="5"/>
  <c r="E183" i="5"/>
  <c r="E182" i="5"/>
  <c r="E186" i="5"/>
  <c r="E185" i="5"/>
  <c r="E188" i="5" l="1"/>
</calcChain>
</file>

<file path=xl/sharedStrings.xml><?xml version="1.0" encoding="utf-8"?>
<sst xmlns="http://schemas.openxmlformats.org/spreadsheetml/2006/main" count="2099" uniqueCount="599">
  <si>
    <t>7. Are you an independent worker or organized with peers?</t>
  </si>
  <si>
    <t>9. What other income generating activities do you have?</t>
  </si>
  <si>
    <t>Unit</t>
  </si>
  <si>
    <t>(Local currency/HH/month)</t>
  </si>
  <si>
    <t>($ PPP/HH/month)</t>
  </si>
  <si>
    <t xml:space="preserve">Minimum wage </t>
  </si>
  <si>
    <t>(Local currency/FTWE/month)</t>
  </si>
  <si>
    <t>($ PPP/FTWE/month)</t>
  </si>
  <si>
    <t>(in %)</t>
  </si>
  <si>
    <t>Qualitative answer</t>
  </si>
  <si>
    <t xml:space="preserve">Household size </t>
  </si>
  <si>
    <t xml:space="preserve">Number of adults </t>
  </si>
  <si>
    <t>What percentage of waste pickers were concerned about not having enough food to eat?</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</si>
  <si>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</si>
  <si>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</si>
  <si>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</si>
  <si>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</si>
  <si>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</si>
  <si>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Yes (in %)</t>
  </si>
  <si>
    <t>No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</si>
  <si>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</si>
  <si>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</si>
  <si>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</si>
  <si>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</si>
  <si>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</si>
  <si>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</si>
  <si>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live in a safe outside environment?</t>
  </si>
  <si>
    <t>Extreme Poverty Line (World Bank)</t>
  </si>
  <si>
    <t>Poverty line (World Bank)</t>
  </si>
  <si>
    <t xml:space="preserve">B3 - Healthcare Costs </t>
  </si>
  <si>
    <t xml:space="preserve">B5 - Costs of Decent Work </t>
  </si>
  <si>
    <t>B6 - Savings</t>
  </si>
  <si>
    <t xml:space="preserve">Explanation: </t>
  </si>
  <si>
    <t>Please describe the five to eight main limitations for waste pickers to increase revenues (one bullet line per limitation)</t>
  </si>
  <si>
    <t xml:space="preserve">1. Gender </t>
  </si>
  <si>
    <t xml:space="preserve">C - Compiling Benchmark Incomes </t>
  </si>
  <si>
    <t>Percentage of the living income that is spent on decent housing</t>
  </si>
  <si>
    <t>Percentage of the living income that is spent on education</t>
  </si>
  <si>
    <t>Percentage of the living income that is spent on healthcare</t>
  </si>
  <si>
    <t xml:space="preserve">Percentage of the living income that is on costs of decent work </t>
  </si>
  <si>
    <t xml:space="preserve">Percentage of the living income that is on costs of savings  </t>
  </si>
  <si>
    <t xml:space="preserve">Percentage of the living income that is spent on healthy diets. </t>
  </si>
  <si>
    <t>Section 1: About the interviewee</t>
  </si>
  <si>
    <t>Section 2:  Waste manamgent working conditions and organization</t>
  </si>
  <si>
    <t xml:space="preserve">Section 3: Revenues from Waste Management Activities </t>
  </si>
  <si>
    <t>Section 4: Expenses from waste management activities</t>
  </si>
  <si>
    <t xml:space="preserve">Section 5: Living Expenses and Conditions </t>
  </si>
  <si>
    <t xml:space="preserve">Estimating the Living Income </t>
  </si>
  <si>
    <t>Typology of surveyed waste pickers</t>
  </si>
  <si>
    <t>B1 - Healthy Diets Costs  (see Tab 3 Healthy Diets)</t>
  </si>
  <si>
    <t xml:space="preserve">Benchmark Data </t>
  </si>
  <si>
    <t>(PPP $/FTWE/month)</t>
  </si>
  <si>
    <t>Don't know/now answer (in %)</t>
  </si>
  <si>
    <t xml:space="preserve">PPP $ Conversation Rate </t>
  </si>
  <si>
    <t>Limitation 3</t>
  </si>
  <si>
    <t>Limitation 2</t>
  </si>
  <si>
    <t>Limitation 1</t>
  </si>
  <si>
    <t>Limitation 4</t>
  </si>
  <si>
    <t>Limitation 5</t>
  </si>
  <si>
    <t>Limitation 6</t>
  </si>
  <si>
    <t>Explanation</t>
  </si>
  <si>
    <t>B - Estimating Living Incomes</t>
  </si>
  <si>
    <t>Don't know/no answer (in %)</t>
  </si>
  <si>
    <t>Number of children</t>
  </si>
  <si>
    <r>
      <rPr>
        <b/>
        <sz val="12"/>
        <color theme="1"/>
        <rFont val="Arial Nova"/>
        <family val="2"/>
      </rPr>
      <t>Section 6: Miscellaneous Questions</t>
    </r>
    <r>
      <rPr>
        <sz val="12"/>
        <color theme="1"/>
        <rFont val="Arial Nova"/>
        <family val="2"/>
      </rPr>
      <t xml:space="preserve"> </t>
    </r>
  </si>
  <si>
    <t>Purpose of this tab:</t>
  </si>
  <si>
    <t>Limitation 7</t>
  </si>
  <si>
    <t>Limitation 8</t>
  </si>
  <si>
    <t xml:space="preserve">B4 - Education Costs </t>
  </si>
  <si>
    <t>Living income (living income required at household level)</t>
  </si>
  <si>
    <t>Percentage of living income put into savings</t>
  </si>
  <si>
    <t>Number of female surveyed waste pickers</t>
  </si>
  <si>
    <t>Number of male surveyed waste pickers</t>
  </si>
  <si>
    <t xml:space="preserve">B2 - Costs of Decent Housing </t>
  </si>
  <si>
    <t>(Local currency(household/month)</t>
  </si>
  <si>
    <t>(PPP $/household/month)</t>
  </si>
  <si>
    <t>Number of waste pickers</t>
  </si>
  <si>
    <t>How many waste pickers were surveyed in total:</t>
  </si>
  <si>
    <t xml:space="preserve">This tab collects the final data of the survey, which will then be transmitted to Systemiq for a final check and a visualization. </t>
  </si>
  <si>
    <t xml:space="preserve">For a full walk-through of the questions, please refer to the PowerPoint Toolkit. Please note down your critical assumptions in the provided Word template document. </t>
  </si>
  <si>
    <t>Typology of the waste pickers from the case study:</t>
  </si>
  <si>
    <t>Sources of materials for the waste pickers in the case study:</t>
  </si>
  <si>
    <t>Estimating the Living Income for the Household:</t>
  </si>
  <si>
    <t xml:space="preserve">Average number of Full Time Workers per household </t>
  </si>
  <si>
    <t>Full time workers / household</t>
  </si>
  <si>
    <t>Converting local currency
to $ PPP</t>
  </si>
  <si>
    <t>Average Earnings of Formal Waste Workers</t>
  </si>
  <si>
    <t>Average Income from comparable sector A (e.g. agricultural labourer)</t>
  </si>
  <si>
    <t>Average Income from comparable sector B (e.g. construction worker)</t>
  </si>
  <si>
    <t xml:space="preserve">Note: Automated calculations cells are highlighted in blue. </t>
  </si>
  <si>
    <t xml:space="preserve">Percentage of living income required for healthy diets </t>
  </si>
  <si>
    <t xml:space="preserve">Percentage of living income required for decent housing </t>
  </si>
  <si>
    <t>Percentage of living income  required for healthcare</t>
  </si>
  <si>
    <t>Percentage of living income  required for education</t>
  </si>
  <si>
    <t>Percentage of living income  required for costs of decent working conditions</t>
  </si>
  <si>
    <t>Living Income in percentages:</t>
  </si>
  <si>
    <t>Estimating the Living Income for the full time worker (FTWE):</t>
  </si>
  <si>
    <t>Living wage (living income required at worker level):</t>
  </si>
  <si>
    <t>Summarizing limitations preventing better incomes</t>
  </si>
  <si>
    <t>= 100% in total</t>
  </si>
  <si>
    <t>PPP $ Conversation Rate 
(to the decimal number)</t>
  </si>
  <si>
    <t xml:space="preserve">Please input the benchmark data that you have researched for your location. Please refer to the PowerPoint toolkit for detailed information on what sources to use for each data point. </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</si>
  <si>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</si>
  <si>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Sub-chapters:</t>
  </si>
  <si>
    <t xml:space="preserve">Average Full Time Worker Equivalent </t>
  </si>
  <si>
    <t>Household size (number of individuals per household)</t>
  </si>
  <si>
    <t xml:space="preserve">The final data consists of three parts: </t>
  </si>
  <si>
    <t xml:space="preserve">For each group, there is an input cell (green colour) and an explanation cell that explains the question and what to input. </t>
  </si>
  <si>
    <t>Benchmarks from the World Bank:</t>
  </si>
  <si>
    <t>Benchmarks from research:</t>
  </si>
  <si>
    <t>Questionnaire for the interviews with waste pickers</t>
  </si>
  <si>
    <t>For the project location, please input the PPP $ Conversion Rate. Please use the World Bank data as a source: https://data.worldbank.org/indicator/PA.NUS.PPP</t>
  </si>
  <si>
    <t xml:space="preserve">Other or no answer </t>
  </si>
  <si>
    <t>Gender:</t>
  </si>
  <si>
    <t>On whether waste picking is their only revenue:</t>
  </si>
  <si>
    <t xml:space="preserve">2. Age </t>
  </si>
  <si>
    <t>3. Household size</t>
  </si>
  <si>
    <t>6. Where do you get your waste from? Can choose more than one option.</t>
  </si>
  <si>
    <t xml:space="preserve">8. Do you also earn any income from other activities aside from waste picking? </t>
  </si>
  <si>
    <t>12. Where and to whom do you sell the waste materials?</t>
  </si>
  <si>
    <t xml:space="preserve">13. Do you know the price of materials you are getting before selling? </t>
  </si>
  <si>
    <t>14. How soon after collecting the materials do you get paid for them?</t>
  </si>
  <si>
    <t>15. How do you get paid?</t>
  </si>
  <si>
    <t>18.1 Plastic, PET bottles</t>
  </si>
  <si>
    <t>18.2 Plastic, other rigids (e.g., HDPE)</t>
  </si>
  <si>
    <t>18.3 Plastic, Flexibles</t>
  </si>
  <si>
    <t>18.4 Paper / carton</t>
  </si>
  <si>
    <t>18.5 Glass</t>
  </si>
  <si>
    <t>Revenues from waste management activities</t>
  </si>
  <si>
    <t>Location of selling waste materials:</t>
  </si>
  <si>
    <t xml:space="preserve">How many waste pickers were independent? </t>
  </si>
  <si>
    <t xml:space="preserve">How many waste pickers were informally organized? </t>
  </si>
  <si>
    <t>How many waste pickers were formally organized?</t>
  </si>
  <si>
    <t>How many waste pickers get materials from the street?</t>
  </si>
  <si>
    <t>How many waste pickers get materials from households?</t>
  </si>
  <si>
    <t>How many waste pickers get materials from a landfill or dumpsite?</t>
  </si>
  <si>
    <t>How many waste pickers get materials from businesses?</t>
  </si>
  <si>
    <t>How many waste pickers get materials from other sources? (if so, please specify the source)</t>
  </si>
  <si>
    <t>How many waste pickers sell to cooperatives?</t>
  </si>
  <si>
    <t>How many waste pickers sell to junk shops?</t>
  </si>
  <si>
    <t>How many waste pickers reported that waste picking is their only income?</t>
  </si>
  <si>
    <t xml:space="preserve">How many waste pickers reported multiple income streams? </t>
  </si>
  <si>
    <t>How many waste pickers sell to waste banks?</t>
  </si>
  <si>
    <t>How many waste pickers sell to other types of entities? (If so, please specify)</t>
  </si>
  <si>
    <t>Frequency of payment:</t>
  </si>
  <si>
    <t>How many waste pickers get paid at delivery?</t>
  </si>
  <si>
    <t>How many waste pickers get paid at the end of the week?</t>
  </si>
  <si>
    <t>How many waste pickers know the price of their waste materials before selling?</t>
  </si>
  <si>
    <t>How many waste pickers get paid at a different frequency? (If so, please specify)</t>
  </si>
  <si>
    <t>Payment form:</t>
  </si>
  <si>
    <t>How many waste pickers get pain in cash?</t>
  </si>
  <si>
    <t>How many waste pickers get pain in credits?</t>
  </si>
  <si>
    <t>How many waste pickers get pain online?</t>
  </si>
  <si>
    <t>Total earnings from sale of all materials:</t>
  </si>
  <si>
    <t>Average earnings of plastic, other rigids (e.g., HDPE)</t>
  </si>
  <si>
    <t>Average earnings of plastic, PET bottles</t>
  </si>
  <si>
    <t>Average earnings of plastic, flexibles</t>
  </si>
  <si>
    <t>Average earnings of paper / carton</t>
  </si>
  <si>
    <t>Average earnings of glass</t>
  </si>
  <si>
    <t>Average earnings of kilos of any other materials</t>
  </si>
  <si>
    <t>Expenses from waste management activities</t>
  </si>
  <si>
    <t>How many waste pickers have debt or obligations to buyers?</t>
  </si>
  <si>
    <t>Average cost of waste picking per month</t>
  </si>
  <si>
    <t>Access to a vehicle:</t>
  </si>
  <si>
    <t>How many waste pickers have a pushcart?</t>
  </si>
  <si>
    <t>How many waste pickers have a bicycle?</t>
  </si>
  <si>
    <t>How many waste pickers have a motorized bicycle?</t>
  </si>
  <si>
    <t>How many waste pickers have other types of vehicles?</t>
  </si>
  <si>
    <t>Average spend on food for waste picker or household everyday</t>
  </si>
  <si>
    <t>Access to living set-up</t>
  </si>
  <si>
    <t>Food security experience scale</t>
  </si>
  <si>
    <t>16. Total earnings from waste picking</t>
  </si>
  <si>
    <t>16.i Total earnings per month</t>
  </si>
  <si>
    <t>16.iii Earnings from selling materials</t>
  </si>
  <si>
    <t>16.ii Earnings from service provided</t>
  </si>
  <si>
    <t>17. Earnings from selling materials:</t>
  </si>
  <si>
    <t>17.1 Plastic, PET bottles</t>
  </si>
  <si>
    <t>17.2 Plastic, other rigids (e.g., HDPE)</t>
  </si>
  <si>
    <t>17.3 Plastic, Flexibles</t>
  </si>
  <si>
    <t>17.4 Paper / carton</t>
  </si>
  <si>
    <t>17.5 Glass</t>
  </si>
  <si>
    <t>18. Kilos collected</t>
  </si>
  <si>
    <t>19. What are your main limitations to increase revenues from waste activities?</t>
  </si>
  <si>
    <t>20. Do you have debt or obligations to your buyers?</t>
  </si>
  <si>
    <t>21. How much does this activity (of waste picking) cost you?</t>
  </si>
  <si>
    <t>22. Do you have access to a vehicle? If so, which one?</t>
  </si>
  <si>
    <t>23. How much do you spend on food for yourself or your household (specify which) everyday?</t>
  </si>
  <si>
    <t>24. During the last 12 months, was there a time when, because of lack of money or other resources:</t>
  </si>
  <si>
    <t>24.1 You were worried you would not have enough food to eat?]</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</si>
  <si>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</si>
  <si>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</si>
  <si>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</si>
  <si>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</si>
  <si>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</si>
  <si>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</si>
  <si>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</si>
  <si>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</si>
  <si>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</si>
  <si>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</si>
  <si>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</si>
  <si>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</si>
  <si>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</si>
  <si>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</si>
  <si>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</si>
  <si>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</si>
  <si>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</si>
  <si>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t>27. Why do you pick and sell waste materials over another job?</t>
  </si>
  <si>
    <t>28. What alternative job opportunities do you have?</t>
  </si>
  <si>
    <t>29.  How many days could you afford to live without a revenue?</t>
  </si>
  <si>
    <t>30.  Are you able to save money for an unforeseen event?</t>
  </si>
  <si>
    <t>31. What is the best part of your job?</t>
  </si>
  <si>
    <t>32. What is the worst part of your job?</t>
  </si>
  <si>
    <t>Link to survey question</t>
  </si>
  <si>
    <t>Question 8</t>
  </si>
  <si>
    <t>Question 7</t>
  </si>
  <si>
    <t>Question 6</t>
  </si>
  <si>
    <t>Question 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</si>
  <si>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</si>
  <si>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</si>
  <si>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</si>
  <si>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</si>
  <si>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</si>
  <si>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</si>
  <si>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</si>
  <si>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</si>
  <si>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</si>
  <si>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</si>
  <si>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</si>
  <si>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</si>
  <si>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</si>
  <si>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</si>
  <si>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29</t>
  </si>
  <si>
    <t>Question 30</t>
  </si>
  <si>
    <t>How many waste pickers are able to save for an unforseen event</t>
  </si>
  <si>
    <t>Number of days</t>
  </si>
  <si>
    <t>Average total earnings</t>
  </si>
  <si>
    <t>Local currency / month per worker</t>
  </si>
  <si>
    <t>Average by typology</t>
  </si>
  <si>
    <t>Local currency / month per FTE worker informally organized</t>
  </si>
  <si>
    <t>Local currency / month per FTE worker formally organized</t>
  </si>
  <si>
    <t xml:space="preserve">All different typologies of the surveyed waste workers need to add up to total number of respondents. </t>
  </si>
  <si>
    <t>Both segments of waste pickers should add to total number of respondents</t>
  </si>
  <si>
    <t>The segments of surveyed waste pickers should add up to total number of respondents</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</si>
  <si>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</si>
  <si>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Input for the Full Time Worker Equivalent per household that will come from secondary research. 
Find relevant data for your location here: https://www.ankerresearchinstitute.org/ari-country-index </t>
  </si>
  <si>
    <t>B1 to B6 then get added up for the final estimate of a living income.</t>
  </si>
  <si>
    <t xml:space="preserve"> See pages in the PowerPoint manual for a detailed walk-through of how to estimate the B1 to B6 components of a living income. </t>
  </si>
  <si>
    <t>Local currency / month per FTE worker 
(all types of workers)</t>
  </si>
  <si>
    <t xml:space="preserve">Local currency / month per FTE independent worker </t>
  </si>
  <si>
    <t>Note, earnings should be reported in Full-time equivalent (FTE). An explanation of converting to FTE is given in the detailed PPT guide</t>
  </si>
  <si>
    <t>Category</t>
  </si>
  <si>
    <t xml:space="preserve">The split of surveyed workers should add up to total number of respondents. </t>
  </si>
  <si>
    <t>Note</t>
  </si>
  <si>
    <t>A - Current waste picker earnings</t>
  </si>
  <si>
    <t xml:space="preserve">A - Current waste picker earnings </t>
  </si>
  <si>
    <t>B - Estimating a living income</t>
  </si>
  <si>
    <t>C - Compiling benchmark data</t>
  </si>
  <si>
    <t>Living expenses and conditions</t>
  </si>
  <si>
    <t>Note, each row should add up to 100%</t>
  </si>
  <si>
    <t>The goal of this section is to estimate a standard of living with all the components essential for a decent life.</t>
  </si>
  <si>
    <t>Living income for FTWE</t>
  </si>
  <si>
    <t>The goal of this section is to estimate a comparable incomes in other jobs or government minimum wages.</t>
  </si>
  <si>
    <t>Of the total earnings, average earnings from service provided</t>
  </si>
  <si>
    <t>Of the total earnings, average earnings from selling materials</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</si>
  <si>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t>
    </r>
    <r>
      <rPr>
        <sz val="11"/>
        <color rgb="FFC00000"/>
        <rFont val="Arial Nova"/>
        <family val="2"/>
      </rPr>
      <t>Note, all responses in this section should be based only on the survey responses.</t>
    </r>
  </si>
  <si>
    <t>This question splits the total kilos collected by the type of material. 
The different segments should add up to 100%.</t>
  </si>
  <si>
    <t>This question splits the total earnings by the type of material. 
The different segments should add up to 100%.</t>
  </si>
  <si>
    <t>Average number of days can live without a revenue in a month</t>
  </si>
  <si>
    <t>Kilos collected (%):</t>
  </si>
  <si>
    <t>Earnings from selling materials (%):</t>
  </si>
  <si>
    <t>Average earnings of aluminum cans</t>
  </si>
  <si>
    <t>Average earnings of other metal packaging (e.g., tinplate cans)</t>
  </si>
  <si>
    <t>Average earnings of other non-packaging metals (e.g., electronics)</t>
  </si>
  <si>
    <r>
      <t xml:space="preserve">Purpose of this tab: 
</t>
    </r>
    <r>
      <rPr>
        <b/>
        <sz val="12"/>
        <color rgb="FFFF0000"/>
        <rFont val="Arial Nova"/>
        <family val="2"/>
      </rPr>
      <t>Please note: this data table is optional. The organization developing a case study can use any format they find more suitable.</t>
    </r>
    <r>
      <rPr>
        <b/>
        <sz val="12"/>
        <color theme="1"/>
        <rFont val="Arial Nova"/>
        <family val="2"/>
      </rPr>
      <t xml:space="preserve">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</si>
  <si>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Note: Input cells are highlighted in green. This is for local project partners to enter the data points.</t>
  </si>
  <si>
    <t>How many waste pickers do not have any vehicle?</t>
  </si>
  <si>
    <t>4. How many years ago did you start waste picking? (optional)</t>
  </si>
  <si>
    <t>5. Why did you start waste picking? (optional)</t>
  </si>
  <si>
    <t>10. How many hours do you work on waste picking a day?</t>
  </si>
  <si>
    <t>11. How many days do you work on waste picking a week?</t>
  </si>
  <si>
    <t>17.6 Aluminium cans</t>
  </si>
  <si>
    <t>17.7 Other metal packaging (e.g., tinplate cans)</t>
  </si>
  <si>
    <t>17.8 Other non-packaging metals (e.g., electronics)</t>
  </si>
  <si>
    <t>17.9 Any other materials</t>
  </si>
  <si>
    <t>18.6 Aluminium cans</t>
  </si>
  <si>
    <t>18.7 Other metal packaging (e.g., tinplate cans)</t>
  </si>
  <si>
    <t>18.8 Other non-packaging metals (e.g., electronics)</t>
  </si>
  <si>
    <t>18.9 Any other materials</t>
  </si>
  <si>
    <t>Respondents can choose more than one option</t>
  </si>
  <si>
    <t>The living income then gets divided by the Full Time Worker Equivalent for your locations to get the living wage per worker.</t>
  </si>
  <si>
    <t>in %</t>
  </si>
  <si>
    <t>% of kilos corresponding to plastic, PET bottles</t>
  </si>
  <si>
    <t>% of kilos corresponding to plastic, other rigids (e.g., HDPE)</t>
  </si>
  <si>
    <t>% of kilos corresponding to plastic, flexibles</t>
  </si>
  <si>
    <t>% of kilos corresponding to paper / carton</t>
  </si>
  <si>
    <t>% of kilos corresponding to glass</t>
  </si>
  <si>
    <t>% of kilos corresponding to aluminum cans</t>
  </si>
  <si>
    <t>% of kilos corresponding to other metal packaging (e.g., tinplate cans)</t>
  </si>
  <si>
    <t>% of kilos corresponding to other non-packaging metals (e.g., electronics)</t>
  </si>
  <si>
    <t>% of kilos corresponding to any other materials</t>
  </si>
  <si>
    <t>What percentage of waste pickers were hungry but did not eat?</t>
  </si>
  <si>
    <t>What percentage of waste pickers went without eating for a whole day?</t>
  </si>
  <si>
    <t>What percentage of waste pickers live with no production or work in the house?</t>
  </si>
  <si>
    <t xml:space="preserve">Independent </t>
  </si>
  <si>
    <t xml:space="preserve">No </t>
  </si>
  <si>
    <t xml:space="preserve">None </t>
  </si>
  <si>
    <t>Aggregator</t>
  </si>
  <si>
    <t>Yes</t>
  </si>
  <si>
    <t xml:space="preserve">At delivery </t>
  </si>
  <si>
    <t xml:space="preserve">Cash </t>
  </si>
  <si>
    <t>No</t>
  </si>
  <si>
    <t>Motorbike</t>
  </si>
  <si>
    <t>Got used to it, doesn’t want to change, also doesn’t know how to do anything else.</t>
  </si>
  <si>
    <t>None</t>
  </si>
  <si>
    <t>Helps sell breakfast at a small shop</t>
  </si>
  <si>
    <t>Male</t>
  </si>
  <si>
    <t xml:space="preserve">Hardly any cost </t>
  </si>
  <si>
    <t>Rests temporarily on the street when tired</t>
  </si>
  <si>
    <t>Has no qualifications and doesn’t know how to do any other work</t>
  </si>
  <si>
    <t>Female</t>
  </si>
  <si>
    <t>Poor health, suffers from high blood pressure and joint pain, so can’t work much</t>
  </si>
  <si>
    <t>Old, doesn’t know how to do any other work</t>
  </si>
  <si>
    <t>Most of the working time is spent outdoors.</t>
  </si>
  <si>
    <t>Sick and unable to work much. Doesn’t know how to do any other work</t>
  </si>
  <si>
    <t>Local people see the hardship and give food and money. The job allows control over working hours</t>
  </si>
  <si>
    <t>Has been doing this for many years and got used to it; doesn’t know how to do anything else and, being older, doesn’t like change.</t>
  </si>
  <si>
    <t>Often has to stay outside the house while working.</t>
  </si>
  <si>
    <t>Low education, only completed up to grade 2, so doesn’t know how to do anything else</t>
  </si>
  <si>
    <t xml:space="preserve">Hardly any days </t>
  </si>
  <si>
    <t>Street, Household, Household business</t>
  </si>
  <si>
    <t>Do hired work; willing to do any kind of job</t>
  </si>
  <si>
    <t>Because my child has a disability, I have to do this job with flexible hours to take care of them</t>
  </si>
  <si>
    <t>Couldn’t find other jobs, no education so doesn’t know how to do anything else. The current job offers flexible working hours.</t>
  </si>
  <si>
    <t>Having worked for many years, I’m used to this job and have no familiarity or experience with other work.</t>
  </si>
  <si>
    <t>Work is heavy and continuous, with no days off even in rain or sunshine.</t>
  </si>
  <si>
    <t>Supported by Enda with clothes, local people give food and fruit</t>
  </si>
  <si>
    <t>Working with my husband for a long time, I don’t want to change jobs. I don’t know how to do other work and have no qualifications</t>
  </si>
  <si>
    <t>Introduced by a family member and started working right away.</t>
  </si>
  <si>
    <t>Managing a cooperative.</t>
  </si>
  <si>
    <t>No time for other jobs, and the price and quantity of recyclable waste has gradually decreased over the years.</t>
  </si>
  <si>
    <t>The price and the quantity of recyclable waste are decreasing over years. Health does not allow for heavy work. Working hours are limited.</t>
  </si>
  <si>
    <t>Working many hours a day, no time for extra jobs. Recyclable waste is scarce, reducing income, and there are many taxes and fees.</t>
  </si>
  <si>
    <t>Poor health prevents from working much.</t>
  </si>
  <si>
    <t>Flexible time, supported by locals, steady income.</t>
  </si>
  <si>
    <t>Frequent night shifts, no days off.</t>
  </si>
  <si>
    <t xml:space="preserve">No fixed hours, can leave early if needed.
</t>
  </si>
  <si>
    <t>Easy to cut hands and feet, parking garbage truck in front of people's houses and getting yelled at</t>
  </si>
  <si>
    <t>Have to work rain or shine, very tired, prone to cuts on hands and feet while working, and waits for the garbage truck.</t>
  </si>
  <si>
    <t>Fined by the police, take a lot of time to wait for the garbage truck, making the work inconvenient.</t>
  </si>
  <si>
    <t>Police fines, high costs, no day off in rain or shine.</t>
  </si>
  <si>
    <t>Flexible hours, no constraints</t>
  </si>
  <si>
    <t>Doesn’t know how to do any other work. Works with my husband; since he is sick, he can’t work alone, so I has to help him.</t>
  </si>
  <si>
    <t>I find the work easy and familiar, with flexible hours to work whenever I want. I have no qualifications and don’t know how to do other work.</t>
  </si>
  <si>
    <t>Get used to the work, no qualifications for other work, find it fine with no issues.</t>
  </si>
  <si>
    <t>Get used to the work, follow my husband’s work, don't know what else to do</t>
  </si>
  <si>
    <t>Often has to stay outside the house while working due to waiting for the garbage truck</t>
  </si>
  <si>
    <t xml:space="preserve">Work often requires stay outside the house and being out overnight </t>
  </si>
  <si>
    <t>No time for overtime work. The price of recyclable waste is low. Transfer points of garbage truck often get congested</t>
  </si>
  <si>
    <t>Work a lot, no time for extra work, focus on family.</t>
  </si>
  <si>
    <t>Worked with my older brother.</t>
  </si>
  <si>
    <t>Used to be a worker, but working as a worker limited my time and couldn't take care of my child (who is mentally disabled), so I did this job to take care of my child.</t>
  </si>
  <si>
    <t>Coming from the countryside and jobless, couldn't find a job here. So I started helping someone and then has been full-time doing this job until now.</t>
  </si>
  <si>
    <t>My older brother did this job first, then introduced it to me. I found the work to be fine, so I have been doing it ever since</t>
  </si>
  <si>
    <t>Previously unemployed due to the pandemic. After it ended, I found this job through a family member’s introduction.</t>
  </si>
  <si>
    <t>My husband is the waste collector. After dating and getting married, I followed the husband and worked it until now</t>
  </si>
  <si>
    <t>Poor health</t>
  </si>
  <si>
    <t>Many costs like fuel, police fees, and taxes.</t>
  </si>
  <si>
    <t>No time to do overtime</t>
  </si>
  <si>
    <t>The price of recyclable waste is low.</t>
  </si>
  <si>
    <t>Working at night</t>
  </si>
  <si>
    <t>Old age</t>
  </si>
  <si>
    <t>I saw that freelancing offers independence even with lower pay, so I decided to do it myself.</t>
  </si>
  <si>
    <t>In 1975, I was jobless and had to find work. Without education, I didn't know what else to do, so I started purchasing recyclable waste and have been doing it ever since.</t>
  </si>
  <si>
    <t>Without education, I purchased recyclable waste. I didn't know how to do anything else</t>
  </si>
  <si>
    <t>I did it myself without a referral</t>
  </si>
  <si>
    <t>Farm work in my hometown was hard and couldn't earn enough money. Working as street waste picker to send 2.5 to 3 million VND to my family every month.</t>
  </si>
  <si>
    <t>Farming in my hometown didn't earn enough income. An acquaintance invited me to come and work with them.</t>
  </si>
  <si>
    <t>Income was low in my hometown, so I moved to the city to earn money for my children's education. I am raising my two children by myself</t>
  </si>
  <si>
    <t>Life in my hometown was difficult, so I followed a fellow villager who was already working this job</t>
  </si>
  <si>
    <t>My children is in school, so I have to work and send money back. I don't know how to do anything else</t>
  </si>
  <si>
    <t>I was poor and unemployed, so I had to move to the city to work. I purchase recyclable waste, and also pick the recyclable waste from the garbage</t>
  </si>
  <si>
    <t>I can't work as a factory worker because I have to drop off and pick up my two kids from school</t>
  </si>
  <si>
    <t>I can't work as a factory worker since I have to drop off and pick up my kids</t>
  </si>
  <si>
    <t>3 generations of family worked as street waste picker. Moving from the countryside to the city to work</t>
  </si>
  <si>
    <t>Street, Household</t>
  </si>
  <si>
    <t>Small restaurant assistant</t>
  </si>
  <si>
    <t>Poor health, can’t purchase the recyclable waste much, only earn enough to live.</t>
  </si>
  <si>
    <t xml:space="preserve">
Due to poor health, I don't have much time purchasing the recyclable waste. The price and the quantity of recyclable waste are decreasing over years.</t>
  </si>
  <si>
    <t>Old age, poor health, can't work much. Sometimes I buy recyclable waste, sometimes I don't. Low price of recyclable waste.</t>
  </si>
  <si>
    <t>The work is repetitive every day, can't do much due to poor health. Recyclable waste is getting less and less, can't be purchase much</t>
  </si>
  <si>
    <t>People drink less beer so there is less recyclable waste. Working hard so there is no time to work overtime.</t>
  </si>
  <si>
    <t>Limited health so can't do much, don't know what else to do</t>
  </si>
  <si>
    <t>No time to work overtime, poor health</t>
  </si>
  <si>
    <t>Using a handcart so can't go far. The price of recyclable waste is not high.</t>
  </si>
  <si>
    <t>Low amount of recyclable waste purchased, some days there is no recyclable waste</t>
  </si>
  <si>
    <t>Pushing heavy cart, low price of recyclable waste</t>
  </si>
  <si>
    <t>Recyclable waste is rare and has low prices. Poor health so can't travel much</t>
  </si>
  <si>
    <t>Poor health, can't do much</t>
  </si>
  <si>
    <t>No time to work overtime, don't know what else to do</t>
  </si>
  <si>
    <t>Poor health can not cycle much</t>
  </si>
  <si>
    <t>Recyclable waste prices are low so can't make much money. Working hours are limited.</t>
  </si>
  <si>
    <t>People sell less recyclable waste, no time to make more</t>
  </si>
  <si>
    <t>Low price, tired of cycling</t>
  </si>
  <si>
    <t>Bicycle</t>
  </si>
  <si>
    <t xml:space="preserve">Pushcart </t>
  </si>
  <si>
    <t>Cargo tricycle</t>
  </si>
  <si>
    <t>Sleep in the park for an hour every day before starting another job.</t>
  </si>
  <si>
    <t>Often has to stay outside the house while working. Sometimes tired sleep under a tree</t>
  </si>
  <si>
    <t>Have to go out in the hot sun to buy recyclable waste. Traffic jam at rush hour has to stay out for a long time.</t>
  </si>
  <si>
    <t>Too tired, sometimes sleep ouside the house</t>
  </si>
  <si>
    <t>Often have to stay outside the house when working, too tired, so have to sleep outside the house</t>
  </si>
  <si>
    <t>Yes, sometimes it's rain or shine, we have to sleep outside</t>
  </si>
  <si>
    <t>Most of the time I go outside to purchase, so tired I sleep outside.</t>
  </si>
  <si>
    <t>Often have to stay out at noon</t>
  </si>
  <si>
    <t>Yes, often have to sleep outside the house. Only go home to sleep at night.</t>
  </si>
  <si>
    <t>Often have to stay outside, sometimes have to sleep under someone else's porch on rainy days</t>
  </si>
  <si>
    <t>Often have to stay outside, go home to sleep at night</t>
  </si>
  <si>
    <t>Going to buy recyclable waste requires a lot of cycling outdoors.</t>
  </si>
  <si>
    <t>Usually tired from cycling so sometimes take a nap on the street</t>
  </si>
  <si>
    <t>Usually stay outside all day, come home to sleep in the evening</t>
  </si>
  <si>
    <t>Can’t find a job, don't know what else to do.</t>
  </si>
  <si>
    <t>don't know what else to do and don’t want to change.</t>
  </si>
  <si>
    <t>Don't know what else to do, found a freelance job so I did it. Also don't have any other professional skills</t>
  </si>
  <si>
    <t>I've been working for 50 years so I don't want to change to another job.</t>
  </si>
  <si>
    <t>I don't know how to do anything else without studying. In the countryside, I don't make any money, just enough to eat.</t>
  </si>
  <si>
    <t>Don't know what else to do, I'm used to this job</t>
  </si>
  <si>
    <t>Sick and unable to do heavy work, I cannot farm in the countryside. Farming in the countryside provides food but does not have regular cash to send my children to school.</t>
  </si>
  <si>
    <t>Because there is direct income, no need to study anything to do it</t>
  </si>
  <si>
    <t>In the countryside, there was storm and flood so I had no money, I had to go to the city to find a job. This job does not require a degree so I did it for myself.</t>
  </si>
  <si>
    <t>Because I don't know what else to do. Work to earn enough to live on.</t>
  </si>
  <si>
    <t>Don't know what else to do, the job is ok and has income</t>
  </si>
  <si>
    <t>Because it's easy to do, I can take a break when needed. Poor education so don't know what else to do.</t>
  </si>
  <si>
    <t>Don't know what to do, can't study, can't get another job</t>
  </si>
  <si>
    <t>Pick up children so can't do other work, income is also ok</t>
  </si>
  <si>
    <t>Locals give recyclable waste and food.</t>
  </si>
  <si>
    <t>No issues found, it is normal</t>
  </si>
  <si>
    <t>Bought a lot of stuff. Local people gave me food and recyclable waste.</t>
  </si>
  <si>
    <t xml:space="preserve">  Local people often give away recyclable waste and food, and some even give money.</t>
  </si>
  <si>
    <t>Freedom, work when you want, rest when you're tired</t>
  </si>
  <si>
    <t>Send money back home for children's education, only keep enough for daily food</t>
  </si>
  <si>
    <t>No time limit, can take time off if there is work</t>
  </si>
  <si>
    <t>One day I will meet a big deal with a lot of money</t>
  </si>
  <si>
    <t>Have money to send back home, people give charity</t>
  </si>
  <si>
    <t xml:space="preserve">  Receive support from people such as giving more recyclable waste, reducing money when buying and selling, giving food</t>
  </si>
  <si>
    <t>Be proactive in taking my children to school</t>
  </si>
  <si>
    <t>Be proactive in picking up and taking care of my children</t>
  </si>
  <si>
    <t>No sales all day.</t>
  </si>
  <si>
    <t>People suspect thieves because of this job. They are afraid of taking their things when you pass by.
When it rains, you can't buy anything, without money. When it's sunny, you're tired of pushing.</t>
  </si>
  <si>
    <t>Can't buy goods in the rain, tired of pushing heavy things. Vehicles sometimes break down.</t>
  </si>
  <si>
    <t>Some days there is recylable waste, some days there isn't. The weather is hot and hard, there are days when nothing can be bought or sold.</t>
  </si>
  <si>
    <t>Pushing a cart in the sun is tiring, and in the rain I can't sell anything.</t>
  </si>
  <si>
    <t>There are days without income.</t>
  </si>
  <si>
    <t>Working in the sun and rain to clean up recyclable waste is tiring. There are days when there is no income because there are no sellers.</t>
  </si>
  <si>
    <t>There are days when no one sells recycle to me, I push my cart all day just to pick up scrap on the side of the road to earn an income</t>
  </si>
  <si>
    <t>Tired of pushing cart, low prices, no things to buy</t>
  </si>
  <si>
    <t>Can't buy any things, while pushing heavy goods the vehicles broke down</t>
  </si>
  <si>
    <t>There are days without income</t>
  </si>
  <si>
    <t>There are days when there is no income, because there is no one to sell or it is raining so hard that I cannot go to buy</t>
  </si>
  <si>
    <t>No recyclable waste to sell, pick through trash cans to find ecyclable waste</t>
  </si>
  <si>
    <t>It's raining heavily so I can't go to work and have no money to eat.</t>
  </si>
  <si>
    <t>Vehicle broken. Can't buy it in the rain</t>
  </si>
  <si>
    <t>During the rainy season, I can barely buy or sell anything</t>
  </si>
  <si>
    <t>Can't buy anything, no income. Tired of cycling in the sun</t>
  </si>
  <si>
    <t>Can't buy anything, can't go out in the rain</t>
  </si>
  <si>
    <t>No goods, go all day without recyclable waste, no income</t>
  </si>
  <si>
    <t>low price of recyclable wast, People sell less recyclable waste</t>
  </si>
  <si>
    <t>low educatio, don't know what else to do</t>
  </si>
  <si>
    <t>Semi-Independent  (Cooperrative's members)</t>
  </si>
  <si>
    <t xml:space="preserve">Independent Waste Collector 1 </t>
  </si>
  <si>
    <t>Independent Waste Collector 2</t>
  </si>
  <si>
    <t>Independent Waste Collector 3</t>
  </si>
  <si>
    <t>Independent Waste Collector 4</t>
  </si>
  <si>
    <t>Independent Waste Collector 5</t>
  </si>
  <si>
    <t>Independent Waste Collector 6</t>
  </si>
  <si>
    <t>Independent Waste Collector 7</t>
  </si>
  <si>
    <t>Independent Waste Collector 8</t>
  </si>
  <si>
    <t>Independent Waste Collector 9</t>
  </si>
  <si>
    <t>Independent Waste Collector 10</t>
  </si>
  <si>
    <t>Independent Waste Collector 11</t>
  </si>
  <si>
    <t>Independent Waste Collector 12</t>
  </si>
  <si>
    <t>Independent Waste Collector 13</t>
  </si>
  <si>
    <t>Independent Waste Collector 14</t>
  </si>
  <si>
    <t>Independent Waste Collector 15</t>
  </si>
  <si>
    <t>Independent Waste Collector 16</t>
  </si>
  <si>
    <t>Independent Waste Collector 17</t>
  </si>
  <si>
    <t>Independent Waste Collector 18</t>
  </si>
  <si>
    <t>Independent Waste Collector 19</t>
  </si>
  <si>
    <t>Independent Waste Collector 20</t>
  </si>
  <si>
    <t>Street Waste Picker 21</t>
  </si>
  <si>
    <t>Street Waste Picker 22</t>
  </si>
  <si>
    <t>Street Waste Picker 23</t>
  </si>
  <si>
    <t>Street Waste Picker 24</t>
  </si>
  <si>
    <t>Street Waste Picker 25</t>
  </si>
  <si>
    <t>Street Waste Picker 26</t>
  </si>
  <si>
    <t>Street Waste Picker 27</t>
  </si>
  <si>
    <t>Street Waste Picker 28</t>
  </si>
  <si>
    <t>Street Waste Picker 29</t>
  </si>
  <si>
    <t>Street Waste Picker 30</t>
  </si>
  <si>
    <t>Street Waste Picker 31</t>
  </si>
  <si>
    <t>Street Waste Picker 32</t>
  </si>
  <si>
    <t>Street Waste Picker 33</t>
  </si>
  <si>
    <t>Street Waste Picker 34</t>
  </si>
  <si>
    <t>Street Waste Picker 35</t>
  </si>
  <si>
    <t>Street Waste Picker 36</t>
  </si>
  <si>
    <t>Street Waste Picker 37</t>
  </si>
  <si>
    <t>Street Waste Picker 38</t>
  </si>
  <si>
    <t>Street Waste Picker 39</t>
  </si>
  <si>
    <t>Street Waste Picker 40</t>
  </si>
  <si>
    <t>There was no job in the countryside and was introduced to this job by an acquaintance, so did it right away. Low education &amp; lack of fiance so cannot do other work.</t>
  </si>
  <si>
    <t>Household, Household's business, Street</t>
  </si>
  <si>
    <t>Household, street</t>
  </si>
  <si>
    <t>My husband is the independent waste collector. After getting married, I help and have been doing this job until now</t>
  </si>
  <si>
    <t>Previously worked as a factory worker, after divorcing, I quit my job and has been collecting waste ever since.</t>
  </si>
  <si>
    <t>My younger brother introduced this job; I found the work to be fine because I am limitted knowledge, education, skills and finance, so I have been doing it ever since</t>
  </si>
  <si>
    <t>Jobless and I applied directly to work as independent waste collector up to now</t>
  </si>
  <si>
    <t>When my mom was sick. I have taken this job up to now.</t>
  </si>
  <si>
    <t>Low education,  just finished the grade 3. Couldn't find a another job so worked with family until now</t>
  </si>
  <si>
    <t>Family members have started doing this job before, then invited each other to continue doing it until now.</t>
  </si>
  <si>
    <t>Myhusband is the waste collector. After dating and getting married, I follow my husband and work as IWC until now</t>
  </si>
  <si>
    <t>Receiving waste collection route from others as do as waste collector up to now</t>
  </si>
  <si>
    <t>Semi-Independent  (Cooperrative's members-IWC)</t>
  </si>
  <si>
    <t>Purchased and collected recyclable waste by day, worked as helper in restaurantsat night. No education so I didn't know what else to do.</t>
  </si>
  <si>
    <t>My mother did this job, and after she passed away, I took this work</t>
  </si>
  <si>
    <t>An acquaintance was already working this job, and she intrfoduced me to work with her</t>
  </si>
  <si>
    <t>Life in my hometown was too difficult, I couldn't handle farm work because of my health, so I have  worked as street waste picker ever since</t>
  </si>
  <si>
    <t xml:space="preserve"> Living in my hometown with the storms, floods, and poverty, so I went to the South to work as street waste picker. A fellow villager did this job and guided me to come</t>
  </si>
  <si>
    <t>A fellow villager introduced me to come and work with them</t>
  </si>
  <si>
    <t>Jobless in the hometown, so a fellow villager invited me to come and work with them to have an income</t>
  </si>
  <si>
    <t>Poor health so could not do much. The pressure garbage truck arrives at meeting points with ixed time so I have to work quickly to catch the truck.</t>
  </si>
  <si>
    <t>Work less because my husband has liver cancer. Go to work to help my husband as he is sick; also has to take care of the children, so I did not have much time.</t>
  </si>
  <si>
    <t>Pushes the garbage cart by hand; since I doesn’t know how to ride a motorbike, can’t work much and for a long time.</t>
  </si>
  <si>
    <t xml:space="preserve">
Old age and poor health so can not do much. No money to buycollection route  prices for recyclable waste is unstable</t>
  </si>
  <si>
    <t xml:space="preserve">Because of fixed time for pressure garbage trucks so i have to work quikcly to be on-time so can't carefully pick all recyclable waste </t>
  </si>
  <si>
    <t>Many costs like fuel and taxes. No time to do other jobs</t>
  </si>
  <si>
    <t>No time to do overtime. Due to low education as well as the poor health.</t>
  </si>
  <si>
    <t>The price of recyclable waste is low. Increasing costs for travelling, gasoline/fuel costs</t>
  </si>
  <si>
    <t>The waste collection route has less recyclable waste. Worked too much and no time for overtime work</t>
  </si>
  <si>
    <t>No time for overtime work and do not know what extra work to do. Poor health, so cannot work too much.</t>
  </si>
  <si>
    <t>Heavy work, long-time working, no time to rest, so no other job</t>
  </si>
  <si>
    <t xml:space="preserve">Too many fees so can't increase income. </t>
  </si>
  <si>
    <t>Collection waste at night, so I can collect fewer recyclable waste only</t>
  </si>
  <si>
    <t xml:space="preserve"> Paper/carton and iron are heavy but the price is low so the income is not high. Going to buy but few people selling</t>
  </si>
  <si>
    <t>No time to work overtime, not healthy enough to work much</t>
  </si>
  <si>
    <t>Can't go far because i only walk to buy recycles</t>
  </si>
  <si>
    <t>Yes, I had to sleep at the waste transfer station while waiting for the pressure garbage truck to arrive and take the waste away, so I could continue working</t>
  </si>
  <si>
    <t>Had to sleep on the street while waiting for the pressure garbage truck to arrive at the waste transfer station.</t>
  </si>
  <si>
    <t>The job is mostly on the streets; sometimes takes a short rest by sleeping temporarily on the street</t>
  </si>
  <si>
    <t>Often has to stay outside the house while working. Waits for the pressure garbage truck to transfer waste by sitting under shelters or tree shade.</t>
  </si>
  <si>
    <t>Collects waste along the streets.When sorting recyclables, I often find empty spaces to classify and then sell them and take rest</t>
  </si>
  <si>
    <t>Often has to stay outside the house while working. And heavy &amp; dangerous work so i  usually sleep on the streets when tỉed because ửoking at night time</t>
  </si>
  <si>
    <t>Often has to stay outside the house while working due to waiting for the pressure garbage truck</t>
  </si>
  <si>
    <t>Often has to stay outside the house while working and take sleep when tỉed because working at night time</t>
  </si>
  <si>
    <t>Do it often and get used to it; the job does not require experience. I don’t know how to do other work and there’s no fear of unemployment.</t>
  </si>
  <si>
    <t>Flexible time because I also have to take my child to school.</t>
  </si>
  <si>
    <t>Flexible time because I also have to take my child to school. I have no education, so I don’t know how to do other work.</t>
  </si>
  <si>
    <t>Flexible working time.</t>
  </si>
  <si>
    <t>Flexible working time</t>
  </si>
  <si>
    <t>The job is simple, not enough health to do other jobs. Farming in the countryside, not knowing what else to do in the city</t>
  </si>
  <si>
    <t>Work to send money back home If I stay in the countryside, i do farming without enough money</t>
  </si>
  <si>
    <t>In the countryside, farming doesn't have enough money to send children to school. Doing this job, I can send my children 2-3 million VND per month. This job doesn't require a degree.</t>
  </si>
  <si>
    <t xml:space="preserve">No degree or experience in other jobs. </t>
  </si>
  <si>
    <t>Flexible time to pick up and drop off children to school</t>
  </si>
  <si>
    <t>Flexible working time, don't know how to do any other job, but after a long time doing the job, I'm used to it.</t>
  </si>
  <si>
    <t>Local people give food and fruit. The working time is plexible</t>
  </si>
  <si>
    <t>Supported by local people, Enda and cooperatives. Aggregator lends money when needed</t>
  </si>
  <si>
    <t>Received support from Enda and local people. Has flexible working time</t>
  </si>
  <si>
    <t>Able to manage my own time without restrictions, with support from local people and Enda</t>
  </si>
  <si>
    <t>Local people and Enda provide support.</t>
  </si>
  <si>
    <t>Flexible working time and no fear of unemployment. Enda support us many years</t>
  </si>
  <si>
    <t>Enda supports</t>
  </si>
  <si>
    <t>Able to manage my own time without restrictions, with support from local residents. Besides, i and my colleagues always receive Enda's support</t>
  </si>
  <si>
    <t>Flexible hours to take care of my family. Besides i always get support from Enda to make me feel meaningful work</t>
  </si>
  <si>
    <t>Flexible time, no constraints</t>
  </si>
  <si>
    <t>Flexible time, tired can rest</t>
  </si>
  <si>
    <t>Buy a lot of goods or the seller will give away recyclable waste. Flexible time</t>
  </si>
  <si>
    <t>Supported by people who give recyclable waste, give extra money, food. This year, Enda also support uss</t>
  </si>
  <si>
    <t>People give food, free rice, Enda's support with uniform, insurances</t>
  </si>
  <si>
    <t>Flexible time, besides, Enda's support with uniform, insurances</t>
  </si>
  <si>
    <t>Enda support uniform, insurances, trainings. People gave money and food</t>
  </si>
  <si>
    <t>Flexible time, tired can go home and rest</t>
  </si>
  <si>
    <t>Work whenever you want, rest when you're tired. Have a steady income. Enda's support</t>
  </si>
  <si>
    <t>Local people provide food support. Besides, Enda has supported us many years with uniforms, insurances and capacity building</t>
  </si>
  <si>
    <t>Feels it’s normal, do it often also get used to it. Occasionally I receive money, food support from local people. Enda has supported us both martirial and spritual life.</t>
  </si>
  <si>
    <t>I get Enda's support many years. Local people provide food support.</t>
  </si>
  <si>
    <t>Working time is flexible because of the ability to be self-managed. Besides, Enda has support us both material and spritual life (uniforms, trainings, insurances, money during covid, reliefs…)</t>
  </si>
  <si>
    <t>Many types of taxes and fees, has to work at night, and being easy to cut hands and feet</t>
  </si>
  <si>
    <t>No one helps when facing problems such as a broken cart. Waste is often heavy so it is too tired  because it has to be pushed by hand.</t>
  </si>
  <si>
    <t>Local people don’t allow parking collection vehicles near the collection point, so has to collect garbage from far away. The waste is heavy, and working in the rain is very tiring.</t>
  </si>
  <si>
    <t>Police confiscate the vehicles because three-wheels vehicles are forbidden (although it is suitable for us to do in small streets/alleys), had an accident on the way to work, works in rain or shine without rest</t>
  </si>
  <si>
    <t>Gets chased away by people because of the bad smell from the trash and cannot collect recyclable waste at that time. Often gets hurt while collecting.</t>
  </si>
  <si>
    <t>have to work whether it's raining or sunny, wait for the pressure garbage truck for a long time and suffer cuts on hands and feet while working</t>
  </si>
  <si>
    <t>Have to pay too many fees and wait too long for the pressure garbage truck</t>
  </si>
  <si>
    <t>Long time waiting for the pressure garbage truck, must work regardless of rain or shine, prone to cuts on hands and feet while working.</t>
  </si>
  <si>
    <t>have to work whether it's raining or sunny, prone to cuts on hands and feet while working. Wait for the pressure garbage truck for a long time, so too tired</t>
  </si>
  <si>
    <t>Take a lot of time to wait for the pressure garbage truck, and police fire so it is overall costs.</t>
  </si>
  <si>
    <t>Fined by the police and numerous taxes and fees, no surplus income.</t>
  </si>
  <si>
    <t>Many people stigmatize the job; when it rains, I can’t sell, so I have no income.</t>
  </si>
  <si>
    <t>Local currency / month per worker
worker informally organized (IWCs)</t>
  </si>
  <si>
    <t>Local currency / month per worker
independent worker (SWPs)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</si>
</sst>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5" formatCode="0.0"/>
    <numFmt numFmtId="167" formatCode="#,##0\ &quot;VNĐ&quot;"/>
    <numFmt numFmtId="168" formatCode="0.0%"/>
    <numFmt numFmtId="169" formatCode="0.000%"/>
    <numFmt numFmtId="171" formatCode="#,##0.00000"/>
  </numFmts>
  <fonts count="48" x14ac:knownFonts="1">
    <font>
      <sz val="11"/>
      <color theme="1"/>
      <name val="Aptos Narrow"/>
      <family val="2"/>
      <scheme val="minor"/>
    </font>
    <font>
      <u/>
      <sz val="11"/>
      <color theme="10"/>
      <name val="Aptos Narrow"/>
      <family val="2"/>
      <scheme val="minor"/>
    </font>
    <font>
      <sz val="8"/>
      <name val="Aptos Narrow"/>
      <family val="2"/>
      <scheme val="minor"/>
    </font>
    <font>
      <sz val="11"/>
      <color theme="1"/>
      <name val="Aptos Narrow"/>
      <family val="2"/>
      <scheme val="minor"/>
    </font>
    <font>
      <sz val="12"/>
      <color theme="1"/>
      <name val="Arial Nova"/>
      <family val="2"/>
    </font>
    <font>
      <b/>
      <sz val="12"/>
      <color theme="1"/>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2"/>
      <name val="Arial Nova"/>
      <family val="2"/>
    </font>
    <font>
      <b/>
      <sz val="12"/>
      <name val="Arial Nova"/>
      <family val="2"/>
    </font>
    <font>
      <sz val="12"/>
      <color theme="1"/>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sz val="11"/>
      <color theme="0"/>
      <name val="Arial Nova"/>
      <family val="2"/>
    </font>
    <font>
      <sz val="11"/>
      <color theme="1"/>
      <name val="Arial Nova"/>
      <family val="2"/>
    </font>
    <font>
      <b/>
      <sz val="11"/>
      <color theme="1"/>
      <name val="Arial Nova"/>
      <family val="2"/>
    </font>
    <font>
      <b/>
      <sz val="11"/>
      <color theme="0"/>
      <name val="Arial Nova"/>
      <family val="2"/>
    </font>
    <font>
      <b/>
      <sz val="11"/>
      <color rgb="FFFF0000"/>
      <name val="Arial Nova"/>
      <family val="2"/>
    </font>
    <font>
      <b/>
      <sz val="20"/>
      <color theme="0"/>
      <name val="Arial Nova"/>
      <family val="2"/>
    </font>
    <font>
      <b/>
      <sz val="20"/>
      <color theme="0"/>
      <name val="Arial Nova"/>
      <family val="2"/>
    </font>
    <font>
      <sz val="12"/>
      <color rgb="FFFF0000"/>
      <name val="Arial Nova"/>
      <family val="2"/>
    </font>
    <font>
      <i/>
      <sz val="12"/>
      <color theme="1"/>
      <name val="Arial Nova"/>
      <family val="2"/>
    </font>
    <font>
      <sz val="11"/>
      <name val="Aptos Narrow"/>
      <family val="2"/>
      <scheme val="minor"/>
    </font>
    <font>
      <b/>
      <i/>
      <sz val="12"/>
      <name val="Arial Nova"/>
      <family val="2"/>
    </font>
    <font>
      <i/>
      <sz val="12"/>
      <name val="Arial Nova"/>
      <family val="2"/>
    </font>
    <font>
      <b/>
      <i/>
      <sz val="11"/>
      <color theme="1"/>
      <name val="Arial Nova"/>
      <family val="2"/>
    </font>
    <font>
      <b/>
      <i/>
      <sz val="20"/>
      <color theme="0"/>
      <name val="Arial Nova"/>
      <family val="2"/>
    </font>
    <font>
      <b/>
      <i/>
      <sz val="11"/>
      <color theme="0"/>
      <name val="Arial Nova"/>
      <family val="2"/>
    </font>
    <font>
      <b/>
      <i/>
      <sz val="11"/>
      <name val="Arial Nova"/>
      <family val="2"/>
    </font>
    <font>
      <i/>
      <sz val="11"/>
      <name val="Arial Nova"/>
      <family val="2"/>
    </font>
    <font>
      <i/>
      <sz val="11"/>
      <color theme="0" tint="-0.34998626667073579"/>
      <name val="Arial Nova"/>
      <family val="2"/>
    </font>
    <font>
      <sz val="11"/>
      <color rgb="FF0000FF"/>
      <name val="Arial Nova"/>
      <family val="2"/>
    </font>
    <font>
      <sz val="11"/>
      <color theme="1"/>
      <name val="Arial Nova"/>
      <family val="2"/>
    </font>
    <font>
      <sz val="11"/>
      <color rgb="FFC00000"/>
      <name val="Arial Nova"/>
      <family val="2"/>
    </font>
    <font>
      <b/>
      <sz val="12"/>
      <color rgb="FFFF0000"/>
      <name val="Arial Nova"/>
      <family val="2"/>
    </font>
    <font>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53">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9847407452621"/>
      </bottom>
      <diagonal/>
    </border>
    <border>
      <left/>
      <right style="thin">
        <color theme="0" tint="-0.14996795556505021"/>
      </right>
      <top/>
      <bottom style="thin">
        <color theme="0" tint="-0.14999847407452621"/>
      </bottom>
      <diagonal/>
    </border>
    <border>
      <left style="thin">
        <color theme="2" tint="-9.9978637043366805E-2"/>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op>
      <bottom style="thin">
        <color theme="1"/>
      </bottom>
      <diagonal/>
    </border>
    <border>
      <left style="thin">
        <color theme="0" tint="-0.14999847407452621"/>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style="thin">
        <color rgb="FFD0D0D0"/>
      </left>
      <right style="thin">
        <color rgb="FFD0D0D0"/>
      </right>
      <top style="thin">
        <color rgb="FFD0D0D0"/>
      </top>
      <bottom style="thin">
        <color rgb="FFD0D0D0"/>
      </bottom>
      <diagonal/>
    </border>
    <border>
      <left style="thin">
        <color theme="0"/>
      </left>
      <right/>
      <top style="thin">
        <color theme="0"/>
      </top>
      <bottom style="thin">
        <color indexed="64"/>
      </bottom>
      <diagonal/>
    </border>
  </borders>
  <cellStyleXfs count="6">
    <xf numFmtId="0" fontId="0" fillId="0" borderId="0"/>
    <xf numFmtId="9" fontId="3" fillId="0" borderId="0" applyFont="0" applyFill="0" applyBorder="0" applyAlignment="0" applyProtection="0"/>
    <xf numFmtId="43" fontId="3" fillId="0" borderId="0" applyFont="0" applyFill="0" applyBorder="0" applyAlignment="0" applyProtection="0"/>
    <xf numFmtId="0" fontId="34" fillId="0" borderId="0"/>
    <xf numFmtId="0" fontId="3" fillId="0" borderId="0"/>
    <xf numFmtId="0" fontId="1" fillId="0" borderId="0" applyNumberFormat="0" applyFill="0" applyBorder="0" applyAlignment="0" applyProtection="0"/>
  </cellStyleXfs>
  <cellXfs count="243">
    <xf numFmtId="0" fontId="0" fillId="0" borderId="0" xfId="0"/>
    <xf numFmtId="0" fontId="7" fillId="0" borderId="0" xfId="0" applyFont="1" applyAlignment="1">
      <alignment vertical="center"/>
    </xf>
    <xf numFmtId="0" fontId="7" fillId="0" borderId="0" xfId="0" applyFont="1" applyAlignment="1">
      <alignment vertical="center" wrapText="1"/>
    </xf>
    <xf numFmtId="0" fontId="4" fillId="0" borderId="0" xfId="0" applyFont="1" applyAlignment="1">
      <alignment vertical="center"/>
    </xf>
    <xf numFmtId="0" fontId="5" fillId="2" borderId="1" xfId="0" applyFont="1" applyFill="1" applyBorder="1" applyAlignment="1">
      <alignment horizontal="left" vertical="center" wrapText="1"/>
    </xf>
    <xf numFmtId="0" fontId="4" fillId="0" borderId="0" xfId="0" applyFont="1" applyAlignment="1">
      <alignment vertical="center" wrapText="1"/>
    </xf>
    <xf numFmtId="0" fontId="12" fillId="3" borderId="1" xfId="0" applyFont="1" applyFill="1" applyBorder="1" applyAlignment="1">
      <alignment vertical="center"/>
    </xf>
    <xf numFmtId="0" fontId="13" fillId="0" borderId="0" xfId="0" applyFont="1" applyAlignment="1">
      <alignment vertical="center"/>
    </xf>
    <xf numFmtId="0" fontId="12" fillId="3" borderId="18" xfId="0" applyFont="1" applyFill="1" applyBorder="1" applyAlignment="1">
      <alignment vertical="center"/>
    </xf>
    <xf numFmtId="0" fontId="12" fillId="3" borderId="18" xfId="0" applyFont="1" applyFill="1" applyBorder="1" applyAlignment="1">
      <alignment horizontal="center" vertical="center" wrapText="1"/>
    </xf>
    <xf numFmtId="0" fontId="4" fillId="0" borderId="16" xfId="0" applyFont="1" applyBorder="1" applyAlignment="1">
      <alignment vertical="center"/>
    </xf>
    <xf numFmtId="0" fontId="16" fillId="0" borderId="16"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5" fillId="7" borderId="0" xfId="0" applyFont="1" applyFill="1" applyAlignment="1">
      <alignment horizontal="left" vertical="center" wrapText="1"/>
    </xf>
    <xf numFmtId="0" fontId="14" fillId="7" borderId="0" xfId="0" applyFont="1" applyFill="1" applyAlignment="1">
      <alignment horizontal="left" vertical="center"/>
    </xf>
    <xf numFmtId="0" fontId="4" fillId="0" borderId="16" xfId="0" applyFont="1" applyBorder="1" applyAlignment="1">
      <alignment vertical="center" wrapText="1"/>
    </xf>
    <xf numFmtId="0" fontId="10" fillId="7" borderId="0" xfId="0" applyFont="1" applyFill="1" applyAlignment="1">
      <alignment horizontal="left" vertical="center"/>
    </xf>
    <xf numFmtId="0" fontId="11" fillId="7" borderId="0" xfId="0" applyFont="1" applyFill="1" applyAlignment="1">
      <alignment horizontal="left" vertical="center"/>
    </xf>
    <xf numFmtId="0" fontId="7" fillId="8" borderId="1"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14" xfId="0" applyFont="1" applyBorder="1" applyAlignment="1">
      <alignment vertical="center" wrapText="1"/>
    </xf>
    <xf numFmtId="0" fontId="8" fillId="0" borderId="0" xfId="0" applyFont="1" applyAlignment="1">
      <alignment horizontal="left" vertical="center"/>
    </xf>
    <xf numFmtId="0" fontId="7" fillId="2" borderId="0" xfId="0" applyFont="1" applyFill="1" applyAlignment="1">
      <alignment vertical="center"/>
    </xf>
    <xf numFmtId="0" fontId="7" fillId="0" borderId="13" xfId="0" applyFont="1" applyBorder="1" applyAlignment="1">
      <alignment vertical="center"/>
    </xf>
    <xf numFmtId="9" fontId="7" fillId="8" borderId="1" xfId="1" applyFont="1" applyFill="1" applyBorder="1" applyAlignment="1">
      <alignment horizontal="center" vertical="center"/>
    </xf>
    <xf numFmtId="9" fontId="7" fillId="8" borderId="26" xfId="1" applyFont="1" applyFill="1" applyBorder="1" applyAlignment="1">
      <alignment horizontal="center" vertical="center"/>
    </xf>
    <xf numFmtId="0" fontId="6" fillId="4" borderId="0" xfId="0" applyFont="1" applyFill="1" applyAlignment="1">
      <alignment horizontal="center" vertical="center"/>
    </xf>
    <xf numFmtId="9" fontId="7" fillId="8" borderId="0" xfId="1" applyFont="1" applyFill="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left" vertical="center" wrapText="1"/>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4" xfId="0" applyFont="1" applyBorder="1" applyAlignment="1">
      <alignment vertical="center" wrapText="1"/>
    </xf>
    <xf numFmtId="0" fontId="26" fillId="0" borderId="14" xfId="0" applyFont="1" applyBorder="1" applyAlignment="1">
      <alignment horizontal="left" vertical="center"/>
    </xf>
    <xf numFmtId="0" fontId="26" fillId="0" borderId="0" xfId="0" applyFont="1" applyAlignment="1">
      <alignment horizontal="left" vertical="center"/>
    </xf>
    <xf numFmtId="0" fontId="27" fillId="0" borderId="14" xfId="0" applyFont="1" applyBorder="1" applyAlignment="1">
      <alignment vertical="center" wrapText="1"/>
    </xf>
    <xf numFmtId="0" fontId="27" fillId="0" borderId="0" xfId="0" applyFont="1" applyAlignment="1">
      <alignment vertical="center" wrapText="1"/>
    </xf>
    <xf numFmtId="0" fontId="6" fillId="9" borderId="12" xfId="0" applyFont="1" applyFill="1" applyBorder="1" applyAlignment="1">
      <alignment vertical="center"/>
    </xf>
    <xf numFmtId="0" fontId="7" fillId="9" borderId="7" xfId="0" applyFont="1" applyFill="1" applyBorder="1" applyAlignment="1">
      <alignment vertical="center"/>
    </xf>
    <xf numFmtId="0" fontId="7" fillId="9" borderId="8" xfId="0" applyFont="1" applyFill="1" applyBorder="1" applyAlignment="1">
      <alignment vertical="center"/>
    </xf>
    <xf numFmtId="0" fontId="7" fillId="9" borderId="6" xfId="0" applyFont="1" applyFill="1" applyBorder="1" applyAlignment="1">
      <alignment vertical="center"/>
    </xf>
    <xf numFmtId="0" fontId="18" fillId="9" borderId="6" xfId="0" applyFont="1" applyFill="1" applyBorder="1" applyAlignment="1">
      <alignment vertical="center"/>
    </xf>
    <xf numFmtId="0" fontId="26" fillId="9" borderId="0" xfId="0" applyFont="1" applyFill="1" applyAlignment="1">
      <alignment vertical="center"/>
    </xf>
    <xf numFmtId="0" fontId="6" fillId="9" borderId="0" xfId="0" applyFont="1" applyFill="1" applyAlignment="1">
      <alignment vertical="center"/>
    </xf>
    <xf numFmtId="0" fontId="26" fillId="0" borderId="0" xfId="0" applyFont="1" applyAlignment="1">
      <alignment vertical="center"/>
    </xf>
    <xf numFmtId="0" fontId="29" fillId="0" borderId="0" xfId="0" applyFont="1" applyAlignment="1">
      <alignment horizontal="left" vertical="center"/>
    </xf>
    <xf numFmtId="0" fontId="7" fillId="0" borderId="25" xfId="0" applyFont="1" applyBorder="1" applyAlignment="1">
      <alignment horizontal="left" vertical="center" wrapText="1"/>
    </xf>
    <xf numFmtId="0" fontId="7" fillId="0" borderId="0" xfId="0" applyFont="1" applyAlignment="1">
      <alignment horizontal="left" vertical="center" indent="3"/>
    </xf>
    <xf numFmtId="0" fontId="26" fillId="0" borderId="0" xfId="0" applyFont="1" applyAlignment="1">
      <alignment horizontal="left" vertical="center" indent="3"/>
    </xf>
    <xf numFmtId="0" fontId="6" fillId="0" borderId="0" xfId="0" applyFont="1" applyAlignment="1">
      <alignment horizontal="left" vertical="center"/>
    </xf>
    <xf numFmtId="0" fontId="26" fillId="6" borderId="0" xfId="0" applyFont="1" applyFill="1" applyAlignment="1">
      <alignment vertical="center"/>
    </xf>
    <xf numFmtId="0" fontId="26" fillId="8" borderId="0" xfId="0" applyFont="1" applyFill="1" applyAlignment="1">
      <alignment vertical="center"/>
    </xf>
    <xf numFmtId="0" fontId="30" fillId="5" borderId="0" xfId="0" applyFont="1" applyFill="1" applyAlignment="1">
      <alignment vertical="center"/>
    </xf>
    <xf numFmtId="0" fontId="17" fillId="5" borderId="0" xfId="0" applyFont="1" applyFill="1" applyAlignment="1">
      <alignment vertical="center"/>
    </xf>
    <xf numFmtId="0" fontId="25" fillId="5" borderId="0" xfId="0" applyFont="1" applyFill="1" applyAlignment="1">
      <alignment vertical="center"/>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27" fillId="0" borderId="0" xfId="0" applyFont="1" applyAlignment="1">
      <alignment horizontal="left" vertical="center"/>
    </xf>
    <xf numFmtId="0" fontId="28" fillId="2" borderId="0" xfId="0" applyFont="1" applyFill="1" applyAlignment="1">
      <alignment vertical="center"/>
    </xf>
    <xf numFmtId="0" fontId="21" fillId="0" borderId="0" xfId="0" applyFont="1" applyAlignment="1">
      <alignment vertical="center"/>
    </xf>
    <xf numFmtId="0" fontId="7" fillId="2" borderId="3" xfId="0" applyFont="1" applyFill="1" applyBorder="1" applyAlignment="1">
      <alignment vertical="center"/>
    </xf>
    <xf numFmtId="0" fontId="7" fillId="0" borderId="3" xfId="0" applyFont="1" applyBorder="1" applyAlignment="1">
      <alignment vertical="center"/>
    </xf>
    <xf numFmtId="0" fontId="7" fillId="2" borderId="5" xfId="0" applyFont="1" applyFill="1" applyBorder="1" applyAlignment="1">
      <alignment vertical="center"/>
    </xf>
    <xf numFmtId="0" fontId="7" fillId="2" borderId="2"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xf>
    <xf numFmtId="0" fontId="7" fillId="0" borderId="6" xfId="0" applyFont="1" applyBorder="1" applyAlignment="1">
      <alignment vertical="center"/>
    </xf>
    <xf numFmtId="0" fontId="22" fillId="0" borderId="0" xfId="0" applyFont="1" applyAlignment="1">
      <alignment horizontal="left" vertical="center"/>
    </xf>
    <xf numFmtId="0" fontId="24" fillId="0" borderId="0" xfId="0" applyFont="1" applyAlignment="1">
      <alignment vertical="center"/>
    </xf>
    <xf numFmtId="0" fontId="31" fillId="5" borderId="0" xfId="0" applyFont="1" applyFill="1" applyAlignment="1">
      <alignment vertical="center"/>
    </xf>
    <xf numFmtId="0" fontId="18" fillId="2" borderId="0" xfId="0" applyFont="1" applyFill="1" applyAlignment="1">
      <alignment vertical="center"/>
    </xf>
    <xf numFmtId="0" fontId="8" fillId="0" borderId="9" xfId="0" applyFont="1" applyBorder="1" applyAlignment="1">
      <alignment vertical="center"/>
    </xf>
    <xf numFmtId="0" fontId="27" fillId="0" borderId="0" xfId="0" applyFont="1" applyAlignment="1">
      <alignment vertical="center"/>
    </xf>
    <xf numFmtId="0" fontId="21" fillId="2" borderId="0" xfId="0" applyFont="1" applyFill="1" applyAlignment="1">
      <alignment horizontal="left" vertical="center" wrapText="1"/>
    </xf>
    <xf numFmtId="0" fontId="35" fillId="7" borderId="0" xfId="0" applyFont="1" applyFill="1" applyAlignment="1">
      <alignment horizontal="left" vertical="center"/>
    </xf>
    <xf numFmtId="0" fontId="36" fillId="7" borderId="0" xfId="0" applyFont="1" applyFill="1" applyAlignment="1">
      <alignment horizontal="left" vertical="center"/>
    </xf>
    <xf numFmtId="0" fontId="21" fillId="0" borderId="0" xfId="0" applyFont="1" applyAlignment="1">
      <alignment horizontal="left" vertical="center"/>
    </xf>
    <xf numFmtId="0" fontId="33" fillId="6" borderId="0" xfId="0" applyFont="1" applyFill="1" applyAlignment="1">
      <alignment horizontal="left" vertical="center"/>
    </xf>
    <xf numFmtId="0" fontId="33" fillId="8" borderId="0" xfId="0" applyFont="1" applyFill="1" applyAlignment="1">
      <alignment horizontal="left" vertical="center"/>
    </xf>
    <xf numFmtId="0" fontId="37" fillId="0" borderId="14" xfId="0" applyFont="1" applyBorder="1" applyAlignment="1">
      <alignment horizontal="left" vertical="center" wrapText="1"/>
    </xf>
    <xf numFmtId="0" fontId="37" fillId="0" borderId="0" xfId="0" applyFont="1" applyAlignment="1">
      <alignment horizontal="left" vertical="center" wrapText="1"/>
    </xf>
    <xf numFmtId="0" fontId="38" fillId="5" borderId="0" xfId="0" applyFont="1" applyFill="1" applyAlignment="1">
      <alignment horizontal="left" vertical="center"/>
    </xf>
    <xf numFmtId="0" fontId="37" fillId="9" borderId="0" xfId="0" applyFont="1" applyFill="1" applyAlignment="1">
      <alignment horizontal="left" vertical="center"/>
    </xf>
    <xf numFmtId="0" fontId="39" fillId="0" borderId="0" xfId="0" applyFont="1" applyAlignment="1">
      <alignment horizontal="left" vertical="center" wrapText="1"/>
    </xf>
    <xf numFmtId="0" fontId="40" fillId="2" borderId="0" xfId="0" applyFont="1" applyFill="1" applyAlignment="1">
      <alignment horizontal="left" vertical="center" wrapText="1"/>
    </xf>
    <xf numFmtId="0" fontId="41" fillId="2" borderId="0" xfId="0" applyFont="1" applyFill="1" applyAlignment="1">
      <alignment horizontal="left" vertical="center" wrapText="1"/>
    </xf>
    <xf numFmtId="0" fontId="21" fillId="2" borderId="0" xfId="0" applyFont="1" applyFill="1" applyAlignment="1">
      <alignment horizontal="left" vertical="center"/>
    </xf>
    <xf numFmtId="0" fontId="37" fillId="2" borderId="0" xfId="0" applyFont="1" applyFill="1" applyAlignment="1">
      <alignment horizontal="left" vertical="center" wrapText="1"/>
    </xf>
    <xf numFmtId="0" fontId="37" fillId="2" borderId="14" xfId="0" applyFont="1" applyFill="1" applyBorder="1" applyAlignment="1">
      <alignment horizontal="left" vertical="center" wrapText="1"/>
    </xf>
    <xf numFmtId="0" fontId="37" fillId="2" borderId="0" xfId="0" applyFont="1" applyFill="1" applyAlignment="1">
      <alignment horizontal="left" vertical="center"/>
    </xf>
    <xf numFmtId="0" fontId="21" fillId="2" borderId="14" xfId="0" applyFont="1" applyFill="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3" fillId="6" borderId="1" xfId="0" applyFont="1" applyFill="1" applyBorder="1" applyAlignment="1">
      <alignment horizontal="center" vertical="center"/>
    </xf>
    <xf numFmtId="0" fontId="6" fillId="9" borderId="1" xfId="0" applyFont="1" applyFill="1" applyBorder="1" applyAlignment="1">
      <alignment vertical="center"/>
    </xf>
    <xf numFmtId="0" fontId="11" fillId="7" borderId="0" xfId="0" applyFont="1" applyFill="1" applyAlignment="1">
      <alignment horizontal="left" vertical="center" indent="2"/>
    </xf>
    <xf numFmtId="0" fontId="5" fillId="6" borderId="0" xfId="0" applyFont="1" applyFill="1" applyAlignment="1">
      <alignment vertical="center"/>
    </xf>
    <xf numFmtId="0" fontId="5" fillId="8" borderId="0" xfId="0" applyFont="1" applyFill="1" applyAlignment="1">
      <alignment vertical="center"/>
    </xf>
    <xf numFmtId="0" fontId="7" fillId="9" borderId="9" xfId="0" applyFont="1" applyFill="1" applyBorder="1" applyAlignment="1">
      <alignment vertical="center"/>
    </xf>
    <xf numFmtId="0" fontId="42" fillId="0" borderId="0" xfId="0" applyFont="1" applyAlignment="1">
      <alignment horizontal="left" vertical="center" wrapText="1"/>
    </xf>
    <xf numFmtId="0" fontId="44" fillId="2" borderId="0" xfId="0" applyFont="1" applyFill="1" applyAlignment="1">
      <alignment vertical="center"/>
    </xf>
    <xf numFmtId="0" fontId="43" fillId="6" borderId="17" xfId="0" applyFont="1" applyFill="1" applyBorder="1" applyAlignment="1">
      <alignment horizontal="center" vertical="center"/>
    </xf>
    <xf numFmtId="9" fontId="43" fillId="6" borderId="1" xfId="1" applyFont="1" applyFill="1" applyBorder="1" applyAlignment="1">
      <alignment horizontal="center" vertical="center"/>
    </xf>
    <xf numFmtId="9" fontId="43" fillId="6" borderId="17" xfId="1" applyFont="1" applyFill="1" applyBorder="1" applyAlignment="1">
      <alignment horizontal="center" vertical="center"/>
    </xf>
    <xf numFmtId="1" fontId="43" fillId="6" borderId="1" xfId="1" applyNumberFormat="1" applyFont="1" applyFill="1" applyBorder="1" applyAlignment="1">
      <alignment horizontal="center" vertical="center"/>
    </xf>
    <xf numFmtId="9" fontId="43" fillId="6" borderId="1" xfId="0" applyNumberFormat="1" applyFont="1" applyFill="1" applyBorder="1" applyAlignment="1">
      <alignment horizontal="center" vertical="center"/>
    </xf>
    <xf numFmtId="1" fontId="43" fillId="6" borderId="17" xfId="2" applyNumberFormat="1" applyFont="1" applyFill="1" applyBorder="1" applyAlignment="1">
      <alignment horizontal="center" vertical="center"/>
    </xf>
    <xf numFmtId="0" fontId="43" fillId="6" borderId="0" xfId="0" applyFont="1" applyFill="1" applyAlignment="1">
      <alignment horizontal="center" vertical="center"/>
    </xf>
    <xf numFmtId="0" fontId="8" fillId="5" borderId="9" xfId="0" applyFont="1" applyFill="1" applyBorder="1" applyAlignment="1">
      <alignment horizontal="center" vertical="center"/>
    </xf>
    <xf numFmtId="0" fontId="8" fillId="5" borderId="0" xfId="0" applyFont="1" applyFill="1" applyAlignment="1">
      <alignment horizontal="center" vertical="center"/>
    </xf>
    <xf numFmtId="0" fontId="7" fillId="0" borderId="0" xfId="0" applyFont="1" applyAlignment="1">
      <alignment horizontal="center" vertical="center"/>
    </xf>
    <xf numFmtId="0" fontId="8" fillId="5" borderId="0" xfId="0" applyFont="1" applyFill="1" applyAlignment="1">
      <alignment horizontal="center" vertical="center" wrapText="1"/>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7" fillId="2" borderId="0" xfId="0" applyFont="1" applyFill="1" applyAlignment="1">
      <alignment horizontal="center" vertical="center"/>
    </xf>
    <xf numFmtId="0" fontId="8" fillId="5" borderId="15" xfId="0" applyFont="1" applyFill="1" applyBorder="1" applyAlignment="1">
      <alignment horizontal="center" vertical="center" wrapText="1"/>
    </xf>
    <xf numFmtId="0" fontId="44" fillId="0" borderId="0" xfId="0" applyFont="1" applyAlignment="1">
      <alignment vertical="center"/>
    </xf>
    <xf numFmtId="0" fontId="4" fillId="0" borderId="16" xfId="0" applyFont="1" applyBorder="1" applyAlignment="1">
      <alignment horizontal="center" vertical="center"/>
    </xf>
    <xf numFmtId="0" fontId="16" fillId="0" borderId="16" xfId="0" applyFont="1" applyBorder="1" applyAlignment="1">
      <alignment horizontal="center" vertical="center"/>
    </xf>
    <xf numFmtId="0" fontId="47" fillId="0" borderId="51" xfId="0" applyFont="1" applyBorder="1" applyAlignment="1">
      <alignment horizontal="center" vertical="center"/>
    </xf>
    <xf numFmtId="167" fontId="16" fillId="0" borderId="16" xfId="0" applyNumberFormat="1" applyFont="1" applyBorder="1" applyAlignment="1">
      <alignment horizontal="center" vertical="center"/>
    </xf>
    <xf numFmtId="9" fontId="16" fillId="0" borderId="16" xfId="0" applyNumberFormat="1" applyFont="1" applyBorder="1" applyAlignment="1">
      <alignment horizontal="center" vertical="center"/>
    </xf>
    <xf numFmtId="9" fontId="4" fillId="0" borderId="16" xfId="0" applyNumberFormat="1" applyFont="1" applyBorder="1" applyAlignment="1">
      <alignment horizontal="center" vertical="center"/>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15" fillId="2" borderId="0" xfId="0" applyFont="1" applyFill="1" applyAlignment="1">
      <alignment horizontal="left" vertical="center" wrapText="1"/>
    </xf>
    <xf numFmtId="0" fontId="4" fillId="2" borderId="0" xfId="0" applyFont="1" applyFill="1" applyAlignment="1">
      <alignment vertical="center"/>
    </xf>
    <xf numFmtId="0" fontId="5" fillId="7" borderId="0" xfId="0" applyFont="1" applyFill="1" applyAlignment="1">
      <alignment horizontal="left" vertical="center" wrapText="1"/>
    </xf>
    <xf numFmtId="0" fontId="4" fillId="7" borderId="0" xfId="0" applyFont="1" applyFill="1" applyAlignment="1">
      <alignment vertical="center"/>
    </xf>
    <xf numFmtId="0" fontId="4" fillId="0" borderId="16" xfId="0" applyFont="1" applyBorder="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horizontal="left" vertical="center" wrapText="1"/>
    </xf>
    <xf numFmtId="168" fontId="16" fillId="0" borderId="16" xfId="0" applyNumberFormat="1" applyFont="1" applyBorder="1" applyAlignment="1">
      <alignment horizontal="center" vertical="center"/>
    </xf>
    <xf numFmtId="168" fontId="4" fillId="0" borderId="16" xfId="0" applyNumberFormat="1" applyFont="1" applyBorder="1" applyAlignment="1">
      <alignment horizontal="center" vertical="center"/>
    </xf>
    <xf numFmtId="167" fontId="4" fillId="0" borderId="16" xfId="0" applyNumberFormat="1" applyFont="1" applyBorder="1" applyAlignment="1">
      <alignment horizontal="center" vertical="center"/>
    </xf>
    <xf numFmtId="0" fontId="47" fillId="0" borderId="51" xfId="0" applyFont="1" applyBorder="1" applyAlignment="1">
      <alignment horizontal="center" vertical="center" wrapText="1"/>
    </xf>
    <xf numFmtId="3" fontId="43" fillId="6" borderId="1" xfId="0" applyNumberFormat="1" applyFont="1" applyFill="1" applyBorder="1" applyAlignment="1">
      <alignment horizontal="center" vertical="center"/>
    </xf>
    <xf numFmtId="3" fontId="43" fillId="6" borderId="17" xfId="0" applyNumberFormat="1" applyFont="1" applyFill="1" applyBorder="1" applyAlignment="1">
      <alignment horizontal="center" vertical="center"/>
    </xf>
    <xf numFmtId="169" fontId="16" fillId="0" borderId="16" xfId="0" applyNumberFormat="1" applyFont="1" applyBorder="1" applyAlignment="1">
      <alignment horizontal="center" vertical="center"/>
    </xf>
    <xf numFmtId="165" fontId="43" fillId="6" borderId="1" xfId="0" applyNumberFormat="1" applyFont="1" applyFill="1" applyBorder="1" applyAlignment="1">
      <alignment horizontal="center" vertical="center"/>
    </xf>
    <xf numFmtId="171" fontId="43" fillId="6" borderId="5" xfId="0" applyNumberFormat="1" applyFont="1" applyFill="1" applyBorder="1" applyAlignment="1">
      <alignment horizontal="center" vertical="center"/>
    </xf>
    <xf numFmtId="2" fontId="7" fillId="8" borderId="5" xfId="0" applyNumberFormat="1" applyFont="1" applyFill="1" applyBorder="1" applyAlignment="1">
      <alignment horizontal="center" vertical="center"/>
    </xf>
    <xf numFmtId="2" fontId="7" fillId="8" borderId="44" xfId="0" applyNumberFormat="1" applyFont="1" applyFill="1" applyBorder="1" applyAlignment="1">
      <alignment horizontal="center" vertical="center"/>
    </xf>
    <xf numFmtId="4" fontId="6" fillId="8" borderId="0" xfId="0" applyNumberFormat="1" applyFont="1" applyFill="1" applyAlignment="1">
      <alignment horizontal="center" vertical="center"/>
    </xf>
    <xf numFmtId="3" fontId="6" fillId="8" borderId="0" xfId="0" applyNumberFormat="1" applyFont="1" applyFill="1" applyAlignment="1">
      <alignment horizontal="center" vertical="center"/>
    </xf>
    <xf numFmtId="3" fontId="7" fillId="8" borderId="1" xfId="0" applyNumberFormat="1" applyFont="1" applyFill="1" applyBorder="1" applyAlignment="1">
      <alignment horizontal="center" vertical="center"/>
    </xf>
    <xf numFmtId="3" fontId="43" fillId="0" borderId="0" xfId="0" applyNumberFormat="1" applyFont="1" applyAlignment="1">
      <alignment vertical="center"/>
    </xf>
    <xf numFmtId="3" fontId="26" fillId="0" borderId="0" xfId="0" applyNumberFormat="1" applyFont="1" applyAlignment="1">
      <alignment vertical="center"/>
    </xf>
    <xf numFmtId="2" fontId="7" fillId="8" borderId="1" xfId="0" applyNumberFormat="1" applyFont="1" applyFill="1" applyBorder="1" applyAlignment="1">
      <alignment horizontal="center" vertical="center"/>
    </xf>
    <xf numFmtId="2" fontId="26" fillId="0" borderId="0" xfId="0" applyNumberFormat="1" applyFont="1" applyAlignment="1">
      <alignment vertical="center"/>
    </xf>
    <xf numFmtId="2" fontId="7" fillId="8" borderId="17" xfId="0" applyNumberFormat="1" applyFont="1" applyFill="1" applyBorder="1" applyAlignment="1">
      <alignment horizontal="center" vertical="center"/>
    </xf>
    <xf numFmtId="167" fontId="32" fillId="0" borderId="16" xfId="0" applyNumberFormat="1" applyFont="1" applyBorder="1" applyAlignment="1">
      <alignment horizontal="center" vertical="center"/>
    </xf>
    <xf numFmtId="3" fontId="43" fillId="6" borderId="52" xfId="0" applyNumberFormat="1" applyFont="1" applyFill="1" applyBorder="1" applyAlignment="1">
      <alignment horizontal="center" vertical="center"/>
    </xf>
    <xf numFmtId="0" fontId="5" fillId="7" borderId="0" xfId="0" applyFont="1" applyFill="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36" xfId="0" applyFont="1" applyBorder="1" applyAlignment="1">
      <alignment horizontal="left" vertical="center" wrapText="1"/>
    </xf>
    <xf numFmtId="0" fontId="7" fillId="0" borderId="24" xfId="0" applyFont="1" applyBorder="1" applyAlignment="1">
      <alignment horizontal="left" vertical="center" wrapText="1"/>
    </xf>
    <xf numFmtId="0" fontId="7" fillId="0" borderId="37" xfId="0" applyFont="1" applyBorder="1" applyAlignment="1">
      <alignment horizontal="left" vertical="center" wrapText="1"/>
    </xf>
    <xf numFmtId="0" fontId="7" fillId="0" borderId="22" xfId="0" applyFont="1" applyBorder="1" applyAlignment="1">
      <alignment horizontal="left" vertical="center" wrapText="1"/>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7" fillId="2" borderId="36" xfId="0" applyFont="1" applyFill="1" applyBorder="1" applyAlignment="1">
      <alignment horizontal="left" vertical="center"/>
    </xf>
    <xf numFmtId="0" fontId="7" fillId="2" borderId="24" xfId="0" applyFont="1" applyFill="1" applyBorder="1" applyAlignment="1">
      <alignment horizontal="left" vertical="center"/>
    </xf>
    <xf numFmtId="0" fontId="7" fillId="2" borderId="37" xfId="0" applyFont="1" applyFill="1" applyBorder="1" applyAlignment="1">
      <alignment horizontal="left" vertical="center"/>
    </xf>
    <xf numFmtId="0" fontId="7" fillId="2" borderId="22" xfId="0" applyFont="1" applyFill="1" applyBorder="1" applyAlignment="1">
      <alignment horizontal="left" vertical="center"/>
    </xf>
    <xf numFmtId="0" fontId="20" fillId="4" borderId="0" xfId="0" applyFont="1" applyFill="1" applyAlignment="1">
      <alignment vertical="center" wrapText="1"/>
    </xf>
    <xf numFmtId="0" fontId="20" fillId="4" borderId="2" xfId="0" applyFont="1" applyFill="1" applyBorder="1" applyAlignment="1">
      <alignment vertical="center" wrapText="1"/>
    </xf>
    <xf numFmtId="0" fontId="8" fillId="5" borderId="0" xfId="0" applyFont="1" applyFill="1" applyAlignment="1">
      <alignment horizontal="left" vertical="center"/>
    </xf>
    <xf numFmtId="0" fontId="6" fillId="9" borderId="1" xfId="0" applyFont="1" applyFill="1" applyBorder="1" applyAlignment="1">
      <alignment horizontal="center" vertical="center" wrapText="1"/>
    </xf>
    <xf numFmtId="0" fontId="26" fillId="0" borderId="21" xfId="0" applyFont="1" applyBorder="1" applyAlignment="1">
      <alignment horizontal="left" vertical="center" wrapText="1"/>
    </xf>
    <xf numFmtId="0" fontId="26" fillId="0" borderId="36" xfId="0" applyFont="1" applyBorder="1" applyAlignment="1">
      <alignment horizontal="left" vertical="center" wrapText="1"/>
    </xf>
    <xf numFmtId="0" fontId="26" fillId="0" borderId="24" xfId="0" applyFont="1" applyBorder="1" applyAlignment="1">
      <alignment horizontal="left" vertical="center" wrapText="1"/>
    </xf>
    <xf numFmtId="0" fontId="26" fillId="0" borderId="37" xfId="0" applyFont="1" applyBorder="1" applyAlignment="1">
      <alignment horizontal="left" vertical="center" wrapText="1"/>
    </xf>
    <xf numFmtId="0" fontId="26" fillId="0" borderId="22" xfId="0" applyFont="1" applyBorder="1" applyAlignment="1">
      <alignment horizontal="left" vertical="center" wrapText="1"/>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19" xfId="0" applyFont="1" applyFill="1" applyBorder="1" applyAlignment="1">
      <alignment horizontal="center"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6" xfId="0" applyFont="1" applyBorder="1" applyAlignment="1">
      <alignment horizontal="left" vertical="center"/>
    </xf>
    <xf numFmtId="0" fontId="7" fillId="0" borderId="24" xfId="0" applyFont="1" applyBorder="1" applyAlignment="1">
      <alignment horizontal="left" vertical="center"/>
    </xf>
    <xf numFmtId="0" fontId="7" fillId="0" borderId="37" xfId="0" applyFont="1" applyBorder="1" applyAlignment="1">
      <alignment horizontal="left" vertical="center"/>
    </xf>
    <xf numFmtId="0" fontId="7" fillId="0" borderId="22" xfId="0" applyFont="1" applyBorder="1" applyAlignment="1">
      <alignment horizontal="left" vertical="center"/>
    </xf>
    <xf numFmtId="0" fontId="7" fillId="2" borderId="28"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21" fillId="6" borderId="17" xfId="0" applyFont="1" applyFill="1" applyBorder="1" applyAlignment="1">
      <alignment horizontal="left" vertical="center" wrapText="1"/>
    </xf>
    <xf numFmtId="0" fontId="7" fillId="0" borderId="9" xfId="0" applyFont="1" applyBorder="1" applyAlignment="1">
      <alignment horizontal="left" vertical="center"/>
    </xf>
    <xf numFmtId="0" fontId="7" fillId="0" borderId="0" xfId="0" applyFont="1" applyAlignment="1">
      <alignment horizontal="left" vertical="center"/>
    </xf>
    <xf numFmtId="0" fontId="6" fillId="4" borderId="2" xfId="0" applyFont="1" applyFill="1" applyBorder="1" applyAlignment="1">
      <alignment horizontal="center" vertical="center" wrapText="1"/>
    </xf>
    <xf numFmtId="0" fontId="6" fillId="4" borderId="0" xfId="0" applyFont="1" applyFill="1" applyAlignment="1">
      <alignment horizontal="center" vertical="center" wrapText="1"/>
    </xf>
    <xf numFmtId="0" fontId="21" fillId="6" borderId="27"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2" borderId="41"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8" fillId="5" borderId="40" xfId="0" applyFont="1" applyFill="1" applyBorder="1" applyAlignment="1">
      <alignment horizontal="center" vertical="center"/>
    </xf>
    <xf numFmtId="0" fontId="8" fillId="5" borderId="0" xfId="0" applyFont="1" applyFill="1" applyAlignment="1">
      <alignment horizontal="center" vertical="center"/>
    </xf>
    <xf numFmtId="0" fontId="23" fillId="0" borderId="20" xfId="0" quotePrefix="1" applyFont="1" applyBorder="1" applyAlignment="1">
      <alignment horizontal="left" vertical="center"/>
    </xf>
    <xf numFmtId="0" fontId="23" fillId="0" borderId="21" xfId="0" quotePrefix="1" applyFont="1" applyBorder="1" applyAlignment="1">
      <alignment horizontal="left" vertical="center"/>
    </xf>
    <xf numFmtId="0" fontId="23" fillId="0" borderId="36" xfId="0" quotePrefix="1" applyFont="1" applyBorder="1" applyAlignment="1">
      <alignment horizontal="left" vertical="center"/>
    </xf>
    <xf numFmtId="0" fontId="23" fillId="0" borderId="24" xfId="0" quotePrefix="1" applyFont="1" applyBorder="1" applyAlignment="1">
      <alignment horizontal="left" vertical="center"/>
    </xf>
    <xf numFmtId="0" fontId="23" fillId="0" borderId="37" xfId="0" quotePrefix="1" applyFont="1" applyBorder="1" applyAlignment="1">
      <alignment horizontal="left" vertical="center"/>
    </xf>
    <xf numFmtId="0" fontId="23" fillId="0" borderId="22" xfId="0" quotePrefix="1" applyFont="1" applyBorder="1" applyAlignment="1">
      <alignment horizontal="left" vertical="center"/>
    </xf>
    <xf numFmtId="0" fontId="27" fillId="4" borderId="0" xfId="0" applyFont="1" applyFill="1" applyAlignment="1">
      <alignment horizontal="center" vertical="center"/>
    </xf>
    <xf numFmtId="0" fontId="6" fillId="4" borderId="2" xfId="0" applyFont="1" applyFill="1" applyBorder="1" applyAlignment="1">
      <alignment horizontal="center" vertical="center"/>
    </xf>
    <xf numFmtId="0" fontId="6" fillId="4" borderId="0" xfId="0" applyFont="1" applyFill="1" applyAlignment="1">
      <alignment horizontal="center" vertical="center"/>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27" fillId="4" borderId="2" xfId="0" applyFont="1" applyFill="1" applyBorder="1" applyAlignment="1">
      <alignment horizontal="center" vertical="center"/>
    </xf>
    <xf numFmtId="0" fontId="27" fillId="4" borderId="4" xfId="0" applyFont="1" applyFill="1" applyBorder="1" applyAlignment="1">
      <alignment horizontal="center" vertical="center"/>
    </xf>
    <xf numFmtId="0" fontId="7" fillId="2" borderId="45"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9"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7" fillId="2" borderId="48"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41" xfId="0" applyFont="1" applyBorder="1" applyAlignment="1">
      <alignment horizontal="left"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8" fillId="5" borderId="9" xfId="0" applyFont="1" applyFill="1" applyBorder="1" applyAlignment="1">
      <alignment horizontal="center" vertical="center"/>
    </xf>
  </cellXfs>
  <cellStyles count="6">
    <cellStyle name="Comma" xfId="2" builtinId="3"/>
    <cellStyle name="Hyperlink 2" xfId="5" xr:uid="{019C6E82-18DB-4AE6-AE4B-4F8EC5291170}"/>
    <cellStyle name="Normal" xfId="0" builtinId="0"/>
    <cellStyle name="Normal 2" xfId="3" xr:uid="{FC1BA723-C1DC-474F-AFA2-78BDC6BD8407}"/>
    <cellStyle name="Normal 3" xfId="4" xr:uid="{5B31D74C-F950-4EDB-8185-CC80D99C295E}"/>
    <cellStyle name="Percent" xfId="1" builtinId="5"/>
  </cellStyles>
  <dxfs count="0"/>
  <tableStyles count="0" defaultTableStyle="TableStyleMedium2" defaultPivotStyle="PivotStyleLight16"/>
  <colors>
    <mruColors>
      <color rgb="FF0000FF"/>
      <color rgb="FF00146D"/>
      <color rgb="FFB2D235"/>
      <color rgb="FFFF6D70"/>
      <color rgb="FF00B0F0"/>
      <color rgb="FFFEDD00"/>
      <color rgb="FF585854"/>
      <color rgb="FFBCBEBB"/>
      <color rgb="FF3366FF"/>
      <color rgb="FF526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3"/>
  <sheetViews>
    <sheetView showGridLines="0" topLeftCell="B22" zoomScale="23" zoomScaleNormal="87" workbookViewId="0">
      <selection activeCell="O37" sqref="O37"/>
    </sheetView>
  </sheetViews>
  <sheetFormatPr defaultColWidth="9.1796875" defaultRowHeight="15" x14ac:dyDescent="0.35"/>
  <cols>
    <col min="1" max="1" width="34.36328125" style="3" customWidth="1"/>
    <col min="2" max="2" width="143.81640625" style="3" customWidth="1"/>
    <col min="3" max="22" width="24.6328125" style="134" customWidth="1"/>
    <col min="23" max="24" width="20.81640625" style="3" bestFit="1" customWidth="1"/>
    <col min="25" max="25" width="27.1796875" style="3" bestFit="1" customWidth="1"/>
    <col min="26" max="26" width="25.36328125" style="3" bestFit="1" customWidth="1"/>
    <col min="27" max="29" width="20.81640625" style="3" bestFit="1" customWidth="1"/>
    <col min="30" max="30" width="24.1796875" style="3" bestFit="1" customWidth="1"/>
    <col min="31" max="31" width="25.36328125" style="3" bestFit="1" customWidth="1"/>
    <col min="32" max="32" width="23.6328125" style="3" bestFit="1" customWidth="1"/>
    <col min="33" max="33" width="20.81640625" style="3" bestFit="1" customWidth="1"/>
    <col min="34" max="34" width="25.81640625" style="3" bestFit="1" customWidth="1"/>
    <col min="35" max="35" width="20.81640625" style="3" bestFit="1" customWidth="1"/>
    <col min="36" max="36" width="21.1796875" style="3" customWidth="1"/>
    <col min="37" max="37" width="25.81640625" style="3" customWidth="1"/>
    <col min="38" max="38" width="23.36328125" style="3" bestFit="1" customWidth="1"/>
    <col min="39" max="39" width="21" style="3" bestFit="1" customWidth="1"/>
    <col min="40" max="40" width="22.6328125" style="3" customWidth="1"/>
    <col min="41" max="41" width="24.1796875" style="3" customWidth="1"/>
    <col min="42" max="42" width="20.453125" style="3" customWidth="1"/>
    <col min="43" max="16384" width="9.1796875" style="3"/>
  </cols>
  <sheetData>
    <row r="1" spans="1:42" s="130" customFormat="1" ht="18.75" customHeight="1" x14ac:dyDescent="0.35">
      <c r="A1" s="127"/>
      <c r="B1" s="127"/>
      <c r="C1" s="127"/>
      <c r="D1" s="127"/>
      <c r="E1" s="127"/>
      <c r="F1" s="127"/>
      <c r="G1" s="127"/>
      <c r="H1" s="128"/>
      <c r="I1" s="128"/>
      <c r="J1" s="129"/>
      <c r="K1" s="129"/>
      <c r="L1" s="129"/>
      <c r="M1" s="129"/>
      <c r="N1" s="129"/>
      <c r="O1" s="129"/>
      <c r="P1" s="129"/>
      <c r="Q1" s="129"/>
      <c r="R1" s="129"/>
      <c r="S1" s="129"/>
      <c r="T1" s="129"/>
      <c r="U1" s="129"/>
      <c r="V1" s="129"/>
    </row>
    <row r="2" spans="1:42" s="132" customFormat="1" ht="18.75" customHeight="1" x14ac:dyDescent="0.35">
      <c r="A2" s="158" t="s">
        <v>273</v>
      </c>
      <c r="B2" s="158"/>
      <c r="C2" s="158"/>
      <c r="D2" s="158"/>
      <c r="E2" s="158"/>
      <c r="F2" s="158"/>
      <c r="G2" s="158"/>
      <c r="H2" s="131"/>
      <c r="I2" s="131"/>
      <c r="J2" s="131"/>
      <c r="K2" s="131"/>
      <c r="L2" s="131"/>
      <c r="M2" s="131"/>
      <c r="N2" s="131"/>
      <c r="O2" s="131"/>
      <c r="P2" s="131"/>
      <c r="Q2" s="131"/>
      <c r="R2" s="131"/>
      <c r="S2" s="131"/>
      <c r="T2" s="131"/>
      <c r="U2" s="131"/>
      <c r="V2" s="131"/>
    </row>
    <row r="3" spans="1:42" s="132" customFormat="1" ht="18.75" customHeight="1" x14ac:dyDescent="0.35">
      <c r="A3" s="158"/>
      <c r="B3" s="158"/>
      <c r="C3" s="158"/>
      <c r="D3" s="158"/>
      <c r="E3" s="158"/>
      <c r="F3" s="158"/>
      <c r="G3" s="158"/>
      <c r="H3" s="131"/>
      <c r="I3" s="131"/>
      <c r="J3" s="131"/>
      <c r="K3" s="131"/>
      <c r="L3" s="131"/>
      <c r="M3" s="131"/>
      <c r="N3" s="131"/>
      <c r="O3" s="131"/>
      <c r="P3" s="131"/>
      <c r="Q3" s="131"/>
      <c r="R3" s="131"/>
      <c r="S3" s="131"/>
      <c r="T3" s="131"/>
      <c r="U3" s="131"/>
      <c r="V3" s="131"/>
    </row>
    <row r="4" spans="1:42" s="132" customFormat="1" ht="18.75" customHeight="1" x14ac:dyDescent="0.35">
      <c r="A4" s="158"/>
      <c r="B4" s="158"/>
      <c r="C4" s="158"/>
      <c r="D4" s="158"/>
      <c r="E4" s="158"/>
      <c r="F4" s="158"/>
      <c r="G4" s="158"/>
      <c r="H4" s="131"/>
      <c r="I4" s="131"/>
      <c r="J4" s="131"/>
      <c r="K4" s="131"/>
      <c r="L4" s="131"/>
      <c r="M4" s="131"/>
      <c r="N4" s="131"/>
      <c r="O4" s="131"/>
      <c r="P4" s="131"/>
      <c r="Q4" s="131"/>
      <c r="R4" s="131"/>
      <c r="S4" s="131"/>
      <c r="T4" s="131"/>
      <c r="U4" s="131"/>
      <c r="V4" s="131"/>
    </row>
    <row r="5" spans="1:42" s="132" customFormat="1" ht="18.75" customHeight="1" x14ac:dyDescent="0.35">
      <c r="A5" s="158"/>
      <c r="B5" s="158"/>
      <c r="C5" s="158"/>
      <c r="D5" s="158"/>
      <c r="E5" s="158"/>
      <c r="F5" s="158"/>
      <c r="G5" s="158"/>
      <c r="H5" s="131"/>
      <c r="I5" s="131"/>
      <c r="J5" s="131"/>
      <c r="K5" s="131"/>
      <c r="L5" s="131"/>
      <c r="M5" s="131"/>
      <c r="N5" s="131"/>
      <c r="O5" s="131"/>
      <c r="P5" s="131"/>
      <c r="Q5" s="131"/>
      <c r="R5" s="131"/>
      <c r="S5" s="131"/>
      <c r="T5" s="131"/>
      <c r="U5" s="131"/>
      <c r="V5" s="131"/>
    </row>
    <row r="6" spans="1:42" s="132" customFormat="1" ht="18.75" customHeight="1" x14ac:dyDescent="0.35">
      <c r="A6" s="158"/>
      <c r="B6" s="158"/>
      <c r="C6" s="158"/>
      <c r="D6" s="158"/>
      <c r="E6" s="158"/>
      <c r="F6" s="158"/>
      <c r="G6" s="158"/>
      <c r="H6" s="131"/>
      <c r="I6" s="131"/>
      <c r="J6" s="131"/>
      <c r="K6" s="131"/>
      <c r="L6" s="131"/>
      <c r="M6" s="131"/>
      <c r="N6" s="131"/>
      <c r="O6" s="131"/>
      <c r="P6" s="131"/>
      <c r="Q6" s="131"/>
      <c r="R6" s="131"/>
      <c r="S6" s="131"/>
      <c r="T6" s="131"/>
      <c r="U6" s="131"/>
      <c r="V6" s="131"/>
    </row>
    <row r="7" spans="1:42" s="132" customFormat="1" ht="18.75" customHeight="1" x14ac:dyDescent="0.35">
      <c r="A7" s="158"/>
      <c r="B7" s="158"/>
      <c r="C7" s="158"/>
      <c r="D7" s="158"/>
      <c r="E7" s="158"/>
      <c r="F7" s="158"/>
      <c r="G7" s="158"/>
      <c r="H7" s="131"/>
      <c r="I7" s="131"/>
      <c r="J7" s="131"/>
      <c r="K7" s="131"/>
      <c r="L7" s="131"/>
      <c r="M7" s="131"/>
      <c r="N7" s="131"/>
      <c r="O7" s="131"/>
      <c r="P7" s="131"/>
      <c r="Q7" s="131"/>
      <c r="R7" s="131"/>
      <c r="S7" s="131"/>
      <c r="T7" s="131"/>
      <c r="U7" s="131"/>
      <c r="V7" s="131"/>
    </row>
    <row r="8" spans="1:42" x14ac:dyDescent="0.35">
      <c r="A8" s="16"/>
      <c r="B8" s="15"/>
      <c r="C8" s="15"/>
      <c r="D8" s="15"/>
      <c r="E8" s="15"/>
      <c r="F8" s="15"/>
      <c r="G8" s="15"/>
      <c r="H8" s="15"/>
      <c r="I8" s="15"/>
      <c r="J8" s="15"/>
      <c r="K8" s="15"/>
      <c r="L8" s="15"/>
      <c r="M8" s="15"/>
      <c r="N8" s="15"/>
      <c r="O8" s="15"/>
      <c r="P8" s="15"/>
      <c r="Q8" s="15"/>
      <c r="R8" s="15"/>
      <c r="S8" s="15"/>
      <c r="T8" s="15"/>
      <c r="U8" s="15"/>
      <c r="V8" s="15"/>
    </row>
    <row r="9" spans="1:42" s="7" customFormat="1" ht="36" customHeight="1" x14ac:dyDescent="0.35">
      <c r="A9" s="6" t="s">
        <v>110</v>
      </c>
      <c r="B9" s="8"/>
      <c r="C9" s="9" t="s">
        <v>468</v>
      </c>
      <c r="D9" s="9" t="s">
        <v>469</v>
      </c>
      <c r="E9" s="9" t="s">
        <v>470</v>
      </c>
      <c r="F9" s="9" t="s">
        <v>471</v>
      </c>
      <c r="G9" s="9" t="s">
        <v>472</v>
      </c>
      <c r="H9" s="9" t="s">
        <v>473</v>
      </c>
      <c r="I9" s="9" t="s">
        <v>474</v>
      </c>
      <c r="J9" s="9" t="s">
        <v>475</v>
      </c>
      <c r="K9" s="9" t="s">
        <v>476</v>
      </c>
      <c r="L9" s="9" t="s">
        <v>477</v>
      </c>
      <c r="M9" s="9" t="s">
        <v>478</v>
      </c>
      <c r="N9" s="9" t="s">
        <v>479</v>
      </c>
      <c r="O9" s="9" t="s">
        <v>480</v>
      </c>
      <c r="P9" s="9" t="s">
        <v>481</v>
      </c>
      <c r="Q9" s="9" t="s">
        <v>482</v>
      </c>
      <c r="R9" s="9" t="s">
        <v>483</v>
      </c>
      <c r="S9" s="9" t="s">
        <v>484</v>
      </c>
      <c r="T9" s="9" t="s">
        <v>485</v>
      </c>
      <c r="U9" s="9" t="s">
        <v>486</v>
      </c>
      <c r="V9" s="9" t="s">
        <v>487</v>
      </c>
      <c r="W9" s="9" t="s">
        <v>488</v>
      </c>
      <c r="X9" s="9" t="s">
        <v>489</v>
      </c>
      <c r="Y9" s="9" t="s">
        <v>490</v>
      </c>
      <c r="Z9" s="9" t="s">
        <v>491</v>
      </c>
      <c r="AA9" s="9" t="s">
        <v>492</v>
      </c>
      <c r="AB9" s="9" t="s">
        <v>493</v>
      </c>
      <c r="AC9" s="9" t="s">
        <v>494</v>
      </c>
      <c r="AD9" s="9" t="s">
        <v>495</v>
      </c>
      <c r="AE9" s="9" t="s">
        <v>496</v>
      </c>
      <c r="AF9" s="9" t="s">
        <v>497</v>
      </c>
      <c r="AG9" s="9" t="s">
        <v>498</v>
      </c>
      <c r="AH9" s="9" t="s">
        <v>499</v>
      </c>
      <c r="AI9" s="9" t="s">
        <v>500</v>
      </c>
      <c r="AJ9" s="9" t="s">
        <v>501</v>
      </c>
      <c r="AK9" s="9" t="s">
        <v>502</v>
      </c>
      <c r="AL9" s="9" t="s">
        <v>503</v>
      </c>
      <c r="AM9" s="9" t="s">
        <v>504</v>
      </c>
      <c r="AN9" s="9" t="s">
        <v>505</v>
      </c>
      <c r="AO9" s="9" t="s">
        <v>506</v>
      </c>
      <c r="AP9" s="9" t="s">
        <v>507</v>
      </c>
    </row>
    <row r="10" spans="1:42" ht="27.75" customHeight="1" x14ac:dyDescent="0.35">
      <c r="A10" s="161" t="s">
        <v>42</v>
      </c>
      <c r="B10" s="10" t="s">
        <v>34</v>
      </c>
      <c r="C10" s="123" t="s">
        <v>319</v>
      </c>
      <c r="D10" s="123" t="s">
        <v>319</v>
      </c>
      <c r="E10" s="121" t="s">
        <v>315</v>
      </c>
      <c r="F10" s="121" t="s">
        <v>319</v>
      </c>
      <c r="G10" s="121" t="s">
        <v>315</v>
      </c>
      <c r="H10" s="121" t="s">
        <v>315</v>
      </c>
      <c r="I10" s="121" t="s">
        <v>315</v>
      </c>
      <c r="J10" s="121" t="s">
        <v>315</v>
      </c>
      <c r="K10" s="121" t="s">
        <v>315</v>
      </c>
      <c r="L10" s="121" t="s">
        <v>319</v>
      </c>
      <c r="M10" s="121" t="s">
        <v>315</v>
      </c>
      <c r="N10" s="121" t="s">
        <v>319</v>
      </c>
      <c r="O10" s="121" t="s">
        <v>319</v>
      </c>
      <c r="P10" s="121" t="s">
        <v>319</v>
      </c>
      <c r="Q10" s="121" t="s">
        <v>319</v>
      </c>
      <c r="R10" s="121" t="s">
        <v>319</v>
      </c>
      <c r="S10" s="121" t="s">
        <v>315</v>
      </c>
      <c r="T10" s="121" t="s">
        <v>315</v>
      </c>
      <c r="U10" s="121" t="s">
        <v>315</v>
      </c>
      <c r="V10" s="121" t="s">
        <v>319</v>
      </c>
      <c r="W10" s="121" t="s">
        <v>319</v>
      </c>
      <c r="X10" s="121" t="s">
        <v>319</v>
      </c>
      <c r="Y10" s="121" t="s">
        <v>319</v>
      </c>
      <c r="Z10" s="121" t="s">
        <v>319</v>
      </c>
      <c r="AA10" s="121" t="s">
        <v>319</v>
      </c>
      <c r="AB10" s="121" t="s">
        <v>319</v>
      </c>
      <c r="AC10" s="121" t="s">
        <v>319</v>
      </c>
      <c r="AD10" s="121" t="s">
        <v>319</v>
      </c>
      <c r="AE10" s="121" t="s">
        <v>319</v>
      </c>
      <c r="AF10" s="121" t="s">
        <v>319</v>
      </c>
      <c r="AG10" s="121" t="s">
        <v>319</v>
      </c>
      <c r="AH10" s="121" t="s">
        <v>319</v>
      </c>
      <c r="AI10" s="121" t="s">
        <v>319</v>
      </c>
      <c r="AJ10" s="121" t="s">
        <v>319</v>
      </c>
      <c r="AK10" s="121" t="s">
        <v>319</v>
      </c>
      <c r="AL10" s="121" t="s">
        <v>319</v>
      </c>
      <c r="AM10" s="121" t="s">
        <v>315</v>
      </c>
      <c r="AN10" s="121" t="s">
        <v>319</v>
      </c>
      <c r="AO10" s="121" t="s">
        <v>319</v>
      </c>
      <c r="AP10" s="121" t="s">
        <v>319</v>
      </c>
    </row>
    <row r="11" spans="1:42" ht="27.75" customHeight="1" x14ac:dyDescent="0.35">
      <c r="A11" s="161"/>
      <c r="B11" s="10" t="s">
        <v>115</v>
      </c>
      <c r="C11" s="121">
        <v>55</v>
      </c>
      <c r="D11" s="121">
        <v>45</v>
      </c>
      <c r="E11" s="121">
        <v>49</v>
      </c>
      <c r="F11" s="121">
        <v>64</v>
      </c>
      <c r="G11" s="121">
        <v>72</v>
      </c>
      <c r="H11" s="121">
        <f>2025-1973</f>
        <v>52</v>
      </c>
      <c r="I11" s="121">
        <v>55</v>
      </c>
      <c r="J11" s="121">
        <f>2025-1969</f>
        <v>56</v>
      </c>
      <c r="K11" s="121">
        <f>2025-1978</f>
        <v>47</v>
      </c>
      <c r="L11" s="121">
        <f>2025-1982</f>
        <v>43</v>
      </c>
      <c r="M11" s="121">
        <f>2025-1973</f>
        <v>52</v>
      </c>
      <c r="N11" s="121">
        <v>38</v>
      </c>
      <c r="O11" s="121">
        <f>2025-1993</f>
        <v>32</v>
      </c>
      <c r="P11" s="121">
        <f>2025-1992</f>
        <v>33</v>
      </c>
      <c r="Q11" s="121">
        <v>37</v>
      </c>
      <c r="R11" s="121">
        <v>50</v>
      </c>
      <c r="S11" s="121">
        <v>47</v>
      </c>
      <c r="T11" s="121">
        <v>25</v>
      </c>
      <c r="U11" s="121">
        <f>2025-1997</f>
        <v>28</v>
      </c>
      <c r="V11" s="121">
        <f>2025-1998</f>
        <v>27</v>
      </c>
      <c r="W11" s="121">
        <f>2025-1963</f>
        <v>62</v>
      </c>
      <c r="X11" s="121">
        <v>58</v>
      </c>
      <c r="Y11" s="121">
        <v>51</v>
      </c>
      <c r="Z11" s="121">
        <f>2025-1952</f>
        <v>73</v>
      </c>
      <c r="AA11" s="121">
        <f>2025-1970</f>
        <v>55</v>
      </c>
      <c r="AB11" s="121">
        <v>58</v>
      </c>
      <c r="AC11" s="121">
        <f>2025-1973</f>
        <v>52</v>
      </c>
      <c r="AD11" s="121">
        <f>2025-1962</f>
        <v>63</v>
      </c>
      <c r="AE11" s="121">
        <f>2025-1970</f>
        <v>55</v>
      </c>
      <c r="AF11" s="121">
        <f>2025-1972</f>
        <v>53</v>
      </c>
      <c r="AG11" s="121">
        <f>2025-1977</f>
        <v>48</v>
      </c>
      <c r="AH11" s="121">
        <f>2025-1970</f>
        <v>55</v>
      </c>
      <c r="AI11" s="121">
        <f>2025-1959</f>
        <v>66</v>
      </c>
      <c r="AJ11" s="121">
        <f>2025-1986</f>
        <v>39</v>
      </c>
      <c r="AK11" s="121">
        <f>2025-1970</f>
        <v>55</v>
      </c>
      <c r="AL11" s="121">
        <f>2025-1985</f>
        <v>40</v>
      </c>
      <c r="AM11" s="121">
        <f>2025-1989</f>
        <v>36</v>
      </c>
      <c r="AN11" s="121">
        <f>2025-1985</f>
        <v>40</v>
      </c>
      <c r="AO11" s="121">
        <f>2025-1991</f>
        <v>34</v>
      </c>
      <c r="AP11" s="121">
        <f>2025-1988</f>
        <v>37</v>
      </c>
    </row>
    <row r="12" spans="1:42" ht="27.75" customHeight="1" x14ac:dyDescent="0.35">
      <c r="A12" s="161"/>
      <c r="B12" s="10" t="s">
        <v>116</v>
      </c>
      <c r="C12" s="121">
        <v>2</v>
      </c>
      <c r="D12" s="121">
        <v>5</v>
      </c>
      <c r="E12" s="121">
        <v>3</v>
      </c>
      <c r="F12" s="121">
        <v>4</v>
      </c>
      <c r="G12" s="121">
        <v>4</v>
      </c>
      <c r="H12" s="121">
        <v>2</v>
      </c>
      <c r="I12" s="121">
        <v>8</v>
      </c>
      <c r="J12" s="121">
        <v>6</v>
      </c>
      <c r="K12" s="121">
        <v>5</v>
      </c>
      <c r="L12" s="121">
        <v>5</v>
      </c>
      <c r="M12" s="121">
        <v>3</v>
      </c>
      <c r="N12" s="121">
        <v>4</v>
      </c>
      <c r="O12" s="121">
        <v>3</v>
      </c>
      <c r="P12" s="121">
        <v>2</v>
      </c>
      <c r="Q12" s="121">
        <v>5</v>
      </c>
      <c r="R12" s="121">
        <v>5</v>
      </c>
      <c r="S12" s="121">
        <v>4</v>
      </c>
      <c r="T12" s="121">
        <v>4</v>
      </c>
      <c r="U12" s="121">
        <v>4</v>
      </c>
      <c r="V12" s="121">
        <v>4</v>
      </c>
      <c r="W12" s="121">
        <v>4</v>
      </c>
      <c r="X12" s="121">
        <v>6</v>
      </c>
      <c r="Y12" s="121">
        <v>1</v>
      </c>
      <c r="Z12" s="121">
        <v>2</v>
      </c>
      <c r="AA12" s="121">
        <v>12</v>
      </c>
      <c r="AB12" s="121">
        <v>5</v>
      </c>
      <c r="AC12" s="121">
        <v>17</v>
      </c>
      <c r="AD12" s="121">
        <v>4</v>
      </c>
      <c r="AE12" s="121">
        <v>11</v>
      </c>
      <c r="AF12" s="121">
        <v>12</v>
      </c>
      <c r="AG12" s="121">
        <v>8</v>
      </c>
      <c r="AH12" s="121">
        <v>11</v>
      </c>
      <c r="AI12" s="121">
        <v>7</v>
      </c>
      <c r="AJ12" s="121">
        <v>3</v>
      </c>
      <c r="AK12" s="121">
        <v>2</v>
      </c>
      <c r="AL12" s="121">
        <v>3</v>
      </c>
      <c r="AM12" s="121">
        <v>4</v>
      </c>
      <c r="AN12" s="121">
        <v>4</v>
      </c>
      <c r="AO12" s="121">
        <v>3</v>
      </c>
      <c r="AP12" s="121">
        <v>4</v>
      </c>
    </row>
    <row r="13" spans="1:42" ht="27.75" customHeight="1" x14ac:dyDescent="0.35">
      <c r="A13" s="161"/>
      <c r="B13" s="10" t="s">
        <v>276</v>
      </c>
      <c r="C13" s="121">
        <v>20</v>
      </c>
      <c r="D13" s="121">
        <v>23</v>
      </c>
      <c r="E13" s="121">
        <v>21</v>
      </c>
      <c r="F13" s="121">
        <v>16</v>
      </c>
      <c r="G13" s="121">
        <v>17</v>
      </c>
      <c r="H13" s="121">
        <v>24</v>
      </c>
      <c r="I13" s="121">
        <v>35</v>
      </c>
      <c r="J13" s="121">
        <v>38</v>
      </c>
      <c r="K13" s="121">
        <v>24</v>
      </c>
      <c r="L13" s="121">
        <v>20</v>
      </c>
      <c r="M13" s="121">
        <v>30</v>
      </c>
      <c r="N13" s="121">
        <v>10</v>
      </c>
      <c r="O13" s="121">
        <v>5</v>
      </c>
      <c r="P13" s="121">
        <v>4</v>
      </c>
      <c r="Q13" s="121">
        <v>2</v>
      </c>
      <c r="R13" s="121">
        <v>3</v>
      </c>
      <c r="S13" s="121">
        <v>25</v>
      </c>
      <c r="T13" s="121">
        <v>6</v>
      </c>
      <c r="U13" s="121">
        <v>15</v>
      </c>
      <c r="V13" s="121">
        <v>4</v>
      </c>
      <c r="W13" s="121">
        <f>2025-2013</f>
        <v>12</v>
      </c>
      <c r="X13" s="121">
        <v>15</v>
      </c>
      <c r="Y13" s="121">
        <v>12</v>
      </c>
      <c r="Z13" s="121">
        <v>50</v>
      </c>
      <c r="AA13" s="121">
        <v>10</v>
      </c>
      <c r="AB13" s="121">
        <v>5</v>
      </c>
      <c r="AC13" s="121">
        <v>8</v>
      </c>
      <c r="AD13" s="121">
        <v>17</v>
      </c>
      <c r="AE13" s="121">
        <v>12</v>
      </c>
      <c r="AF13" s="121">
        <v>15</v>
      </c>
      <c r="AG13" s="121">
        <v>15</v>
      </c>
      <c r="AH13" s="121">
        <v>19</v>
      </c>
      <c r="AI13" s="121">
        <v>12</v>
      </c>
      <c r="AJ13" s="121">
        <v>13</v>
      </c>
      <c r="AK13" s="121">
        <v>17</v>
      </c>
      <c r="AL13" s="121">
        <v>8</v>
      </c>
      <c r="AM13" s="121">
        <v>3</v>
      </c>
      <c r="AN13" s="121">
        <v>5</v>
      </c>
      <c r="AO13" s="121">
        <v>4</v>
      </c>
      <c r="AP13" s="121">
        <v>20</v>
      </c>
    </row>
    <row r="14" spans="1:42" ht="133" customHeight="1" x14ac:dyDescent="0.35">
      <c r="A14" s="161"/>
      <c r="B14" s="10" t="s">
        <v>277</v>
      </c>
      <c r="C14" s="133" t="s">
        <v>508</v>
      </c>
      <c r="D14" s="133" t="s">
        <v>511</v>
      </c>
      <c r="E14" s="133" t="s">
        <v>512</v>
      </c>
      <c r="F14" s="133" t="s">
        <v>513</v>
      </c>
      <c r="G14" s="133" t="s">
        <v>514</v>
      </c>
      <c r="H14" s="133" t="s">
        <v>359</v>
      </c>
      <c r="I14" s="133" t="s">
        <v>515</v>
      </c>
      <c r="J14" s="133" t="s">
        <v>516</v>
      </c>
      <c r="K14" s="133" t="s">
        <v>360</v>
      </c>
      <c r="L14" s="133" t="s">
        <v>361</v>
      </c>
      <c r="M14" s="133" t="s">
        <v>517</v>
      </c>
      <c r="N14" s="133" t="s">
        <v>518</v>
      </c>
      <c r="O14" s="133" t="s">
        <v>362</v>
      </c>
      <c r="P14" s="133" t="s">
        <v>362</v>
      </c>
      <c r="Q14" s="133" t="s">
        <v>363</v>
      </c>
      <c r="R14" s="133" t="s">
        <v>337</v>
      </c>
      <c r="S14" s="133" t="s">
        <v>519</v>
      </c>
      <c r="T14" s="133" t="s">
        <v>337</v>
      </c>
      <c r="U14" s="133" t="s">
        <v>337</v>
      </c>
      <c r="V14" s="133" t="s">
        <v>364</v>
      </c>
      <c r="W14" s="133" t="s">
        <v>521</v>
      </c>
      <c r="X14" s="133" t="s">
        <v>522</v>
      </c>
      <c r="Y14" s="133" t="s">
        <v>371</v>
      </c>
      <c r="Z14" s="133" t="s">
        <v>372</v>
      </c>
      <c r="AA14" s="133" t="s">
        <v>373</v>
      </c>
      <c r="AB14" s="133" t="s">
        <v>374</v>
      </c>
      <c r="AC14" s="133" t="s">
        <v>523</v>
      </c>
      <c r="AD14" s="133" t="s">
        <v>524</v>
      </c>
      <c r="AE14" s="133" t="s">
        <v>375</v>
      </c>
      <c r="AF14" s="133" t="s">
        <v>376</v>
      </c>
      <c r="AG14" s="133" t="s">
        <v>377</v>
      </c>
      <c r="AH14" s="133" t="s">
        <v>525</v>
      </c>
      <c r="AI14" s="133" t="s">
        <v>526</v>
      </c>
      <c r="AJ14" s="133" t="s">
        <v>527</v>
      </c>
      <c r="AK14" s="133" t="s">
        <v>378</v>
      </c>
      <c r="AL14" s="133" t="s">
        <v>379</v>
      </c>
      <c r="AM14" s="133" t="s">
        <v>380</v>
      </c>
      <c r="AN14" s="133" t="s">
        <v>381</v>
      </c>
      <c r="AO14" s="133" t="s">
        <v>382</v>
      </c>
      <c r="AP14" s="133" t="s">
        <v>383</v>
      </c>
    </row>
    <row r="15" spans="1:42" x14ac:dyDescent="0.35">
      <c r="A15" s="4"/>
      <c r="W15" s="134"/>
      <c r="X15" s="134"/>
      <c r="Y15" s="134"/>
      <c r="Z15" s="134"/>
      <c r="AA15" s="134"/>
      <c r="AB15" s="134"/>
      <c r="AC15" s="134"/>
      <c r="AD15" s="134"/>
      <c r="AE15" s="134"/>
      <c r="AF15" s="134"/>
      <c r="AG15" s="134"/>
      <c r="AH15" s="134"/>
      <c r="AI15" s="134"/>
      <c r="AJ15" s="134"/>
      <c r="AK15" s="134"/>
      <c r="AL15" s="134"/>
      <c r="AM15" s="134"/>
      <c r="AN15" s="134"/>
      <c r="AO15" s="134"/>
      <c r="AP15" s="134"/>
    </row>
    <row r="16" spans="1:42" ht="32.5" customHeight="1" x14ac:dyDescent="0.35">
      <c r="A16" s="159" t="s">
        <v>43</v>
      </c>
      <c r="B16" s="10" t="s">
        <v>117</v>
      </c>
      <c r="C16" s="133" t="s">
        <v>509</v>
      </c>
      <c r="D16" s="133" t="s">
        <v>509</v>
      </c>
      <c r="E16" s="133" t="s">
        <v>509</v>
      </c>
      <c r="F16" s="133" t="s">
        <v>510</v>
      </c>
      <c r="G16" s="133" t="s">
        <v>509</v>
      </c>
      <c r="H16" s="133" t="s">
        <v>509</v>
      </c>
      <c r="I16" s="133" t="s">
        <v>509</v>
      </c>
      <c r="J16" s="133" t="s">
        <v>509</v>
      </c>
      <c r="K16" s="133" t="s">
        <v>329</v>
      </c>
      <c r="L16" s="133" t="s">
        <v>509</v>
      </c>
      <c r="M16" s="133" t="s">
        <v>509</v>
      </c>
      <c r="N16" s="133" t="s">
        <v>509</v>
      </c>
      <c r="O16" s="133" t="s">
        <v>509</v>
      </c>
      <c r="P16" s="133" t="s">
        <v>509</v>
      </c>
      <c r="Q16" s="133" t="s">
        <v>509</v>
      </c>
      <c r="R16" s="133" t="s">
        <v>509</v>
      </c>
      <c r="S16" s="133" t="s">
        <v>509</v>
      </c>
      <c r="T16" s="133" t="s">
        <v>510</v>
      </c>
      <c r="U16" s="133" t="s">
        <v>510</v>
      </c>
      <c r="V16" s="133" t="s">
        <v>509</v>
      </c>
      <c r="W16" s="121" t="s">
        <v>384</v>
      </c>
      <c r="X16" s="121" t="s">
        <v>384</v>
      </c>
      <c r="Y16" s="121" t="s">
        <v>384</v>
      </c>
      <c r="Z16" s="121" t="s">
        <v>384</v>
      </c>
      <c r="AA16" s="121" t="s">
        <v>384</v>
      </c>
      <c r="AB16" s="121" t="s">
        <v>384</v>
      </c>
      <c r="AC16" s="121" t="s">
        <v>384</v>
      </c>
      <c r="AD16" s="121" t="s">
        <v>384</v>
      </c>
      <c r="AE16" s="121" t="s">
        <v>384</v>
      </c>
      <c r="AF16" s="121" t="s">
        <v>384</v>
      </c>
      <c r="AG16" s="121" t="s">
        <v>384</v>
      </c>
      <c r="AH16" s="121" t="s">
        <v>384</v>
      </c>
      <c r="AI16" s="121" t="s">
        <v>384</v>
      </c>
      <c r="AJ16" s="121" t="s">
        <v>384</v>
      </c>
      <c r="AK16" s="121" t="s">
        <v>384</v>
      </c>
      <c r="AL16" s="121" t="s">
        <v>384</v>
      </c>
      <c r="AM16" s="121" t="s">
        <v>384</v>
      </c>
      <c r="AN16" s="121" t="s">
        <v>384</v>
      </c>
      <c r="AO16" s="121" t="s">
        <v>384</v>
      </c>
      <c r="AP16" s="121" t="s">
        <v>384</v>
      </c>
    </row>
    <row r="17" spans="1:42" ht="87" customHeight="1" x14ac:dyDescent="0.35">
      <c r="A17" s="159"/>
      <c r="B17" s="11" t="s">
        <v>0</v>
      </c>
      <c r="C17" s="133" t="s">
        <v>520</v>
      </c>
      <c r="D17" s="133" t="s">
        <v>467</v>
      </c>
      <c r="E17" s="133" t="s">
        <v>467</v>
      </c>
      <c r="F17" s="133" t="s">
        <v>467</v>
      </c>
      <c r="G17" s="133" t="s">
        <v>467</v>
      </c>
      <c r="H17" s="133" t="s">
        <v>467</v>
      </c>
      <c r="I17" s="133" t="s">
        <v>467</v>
      </c>
      <c r="J17" s="133" t="s">
        <v>467</v>
      </c>
      <c r="K17" s="133" t="s">
        <v>467</v>
      </c>
      <c r="L17" s="133" t="s">
        <v>467</v>
      </c>
      <c r="M17" s="133" t="s">
        <v>467</v>
      </c>
      <c r="N17" s="133" t="s">
        <v>467</v>
      </c>
      <c r="O17" s="133" t="s">
        <v>467</v>
      </c>
      <c r="P17" s="133" t="s">
        <v>467</v>
      </c>
      <c r="Q17" s="133" t="s">
        <v>467</v>
      </c>
      <c r="R17" s="133" t="s">
        <v>467</v>
      </c>
      <c r="S17" s="133" t="s">
        <v>467</v>
      </c>
      <c r="T17" s="133" t="s">
        <v>467</v>
      </c>
      <c r="U17" s="133" t="s">
        <v>467</v>
      </c>
      <c r="V17" s="133" t="s">
        <v>467</v>
      </c>
      <c r="W17" s="123" t="s">
        <v>303</v>
      </c>
      <c r="X17" s="123" t="s">
        <v>303</v>
      </c>
      <c r="Y17" s="123" t="s">
        <v>303</v>
      </c>
      <c r="Z17" s="123" t="s">
        <v>303</v>
      </c>
      <c r="AA17" s="123" t="s">
        <v>303</v>
      </c>
      <c r="AB17" s="123" t="s">
        <v>303</v>
      </c>
      <c r="AC17" s="123" t="s">
        <v>303</v>
      </c>
      <c r="AD17" s="123" t="s">
        <v>303</v>
      </c>
      <c r="AE17" s="123" t="s">
        <v>303</v>
      </c>
      <c r="AF17" s="123" t="s">
        <v>303</v>
      </c>
      <c r="AG17" s="123" t="s">
        <v>303</v>
      </c>
      <c r="AH17" s="123" t="s">
        <v>303</v>
      </c>
      <c r="AI17" s="123" t="s">
        <v>303</v>
      </c>
      <c r="AJ17" s="123" t="s">
        <v>303</v>
      </c>
      <c r="AK17" s="123" t="s">
        <v>303</v>
      </c>
      <c r="AL17" s="123" t="s">
        <v>303</v>
      </c>
      <c r="AM17" s="123" t="s">
        <v>303</v>
      </c>
      <c r="AN17" s="123" t="s">
        <v>303</v>
      </c>
      <c r="AO17" s="123" t="s">
        <v>303</v>
      </c>
      <c r="AP17" s="123" t="s">
        <v>303</v>
      </c>
    </row>
    <row r="18" spans="1:42" ht="46" customHeight="1" x14ac:dyDescent="0.35">
      <c r="A18" s="159"/>
      <c r="B18" s="10" t="s">
        <v>118</v>
      </c>
      <c r="C18" s="123" t="s">
        <v>304</v>
      </c>
      <c r="D18" s="121" t="s">
        <v>307</v>
      </c>
      <c r="E18" s="123" t="s">
        <v>304</v>
      </c>
      <c r="F18" s="123" t="s">
        <v>304</v>
      </c>
      <c r="G18" s="123" t="s">
        <v>304</v>
      </c>
      <c r="H18" s="123" t="s">
        <v>304</v>
      </c>
      <c r="I18" s="123" t="s">
        <v>304</v>
      </c>
      <c r="J18" s="123" t="s">
        <v>304</v>
      </c>
      <c r="K18" s="123" t="s">
        <v>307</v>
      </c>
      <c r="L18" s="123" t="s">
        <v>304</v>
      </c>
      <c r="M18" s="123" t="s">
        <v>304</v>
      </c>
      <c r="N18" s="123" t="s">
        <v>304</v>
      </c>
      <c r="O18" s="123" t="s">
        <v>304</v>
      </c>
      <c r="P18" s="123" t="s">
        <v>304</v>
      </c>
      <c r="Q18" s="123" t="s">
        <v>304</v>
      </c>
      <c r="R18" s="123" t="s">
        <v>304</v>
      </c>
      <c r="S18" s="123" t="s">
        <v>307</v>
      </c>
      <c r="T18" s="123" t="s">
        <v>304</v>
      </c>
      <c r="U18" s="123" t="s">
        <v>304</v>
      </c>
      <c r="V18" s="123" t="s">
        <v>304</v>
      </c>
      <c r="W18" s="123" t="s">
        <v>307</v>
      </c>
      <c r="X18" s="123" t="s">
        <v>304</v>
      </c>
      <c r="Y18" s="123" t="s">
        <v>304</v>
      </c>
      <c r="Z18" s="123" t="s">
        <v>304</v>
      </c>
      <c r="AA18" s="123" t="s">
        <v>304</v>
      </c>
      <c r="AB18" s="123" t="s">
        <v>304</v>
      </c>
      <c r="AC18" s="123" t="s">
        <v>304</v>
      </c>
      <c r="AD18" s="123" t="s">
        <v>304</v>
      </c>
      <c r="AE18" s="123" t="s">
        <v>304</v>
      </c>
      <c r="AF18" s="123" t="s">
        <v>304</v>
      </c>
      <c r="AG18" s="123" t="s">
        <v>304</v>
      </c>
      <c r="AH18" s="123" t="s">
        <v>304</v>
      </c>
      <c r="AI18" s="123" t="s">
        <v>304</v>
      </c>
      <c r="AJ18" s="123" t="s">
        <v>304</v>
      </c>
      <c r="AK18" s="123" t="s">
        <v>304</v>
      </c>
      <c r="AL18" s="123" t="s">
        <v>304</v>
      </c>
      <c r="AM18" s="123" t="s">
        <v>304</v>
      </c>
      <c r="AN18" s="123" t="s">
        <v>304</v>
      </c>
      <c r="AO18" s="123" t="s">
        <v>304</v>
      </c>
      <c r="AP18" s="123" t="s">
        <v>304</v>
      </c>
    </row>
    <row r="19" spans="1:42" ht="50" customHeight="1" x14ac:dyDescent="0.35">
      <c r="A19" s="159"/>
      <c r="B19" s="11" t="s">
        <v>1</v>
      </c>
      <c r="C19" s="123" t="s">
        <v>305</v>
      </c>
      <c r="D19" s="133" t="s">
        <v>314</v>
      </c>
      <c r="E19" s="123" t="s">
        <v>305</v>
      </c>
      <c r="F19" s="123" t="s">
        <v>305</v>
      </c>
      <c r="G19" s="123" t="s">
        <v>305</v>
      </c>
      <c r="H19" s="123" t="s">
        <v>305</v>
      </c>
      <c r="I19" s="123" t="s">
        <v>305</v>
      </c>
      <c r="J19" s="123" t="s">
        <v>305</v>
      </c>
      <c r="K19" s="140" t="s">
        <v>330</v>
      </c>
      <c r="L19" s="123" t="s">
        <v>305</v>
      </c>
      <c r="M19" s="123" t="s">
        <v>305</v>
      </c>
      <c r="N19" s="123" t="s">
        <v>305</v>
      </c>
      <c r="O19" s="123" t="s">
        <v>305</v>
      </c>
      <c r="P19" s="123" t="s">
        <v>305</v>
      </c>
      <c r="Q19" s="123" t="s">
        <v>305</v>
      </c>
      <c r="R19" s="123" t="s">
        <v>305</v>
      </c>
      <c r="S19" s="140" t="s">
        <v>338</v>
      </c>
      <c r="T19" s="123" t="s">
        <v>305</v>
      </c>
      <c r="U19" s="123" t="s">
        <v>305</v>
      </c>
      <c r="V19" s="123" t="s">
        <v>305</v>
      </c>
      <c r="W19" s="140" t="s">
        <v>385</v>
      </c>
      <c r="X19" s="123" t="s">
        <v>305</v>
      </c>
      <c r="Y19" s="123" t="s">
        <v>305</v>
      </c>
      <c r="Z19" s="123" t="s">
        <v>305</v>
      </c>
      <c r="AA19" s="123" t="s">
        <v>305</v>
      </c>
      <c r="AB19" s="123" t="s">
        <v>305</v>
      </c>
      <c r="AC19" s="123" t="s">
        <v>305</v>
      </c>
      <c r="AD19" s="123" t="s">
        <v>305</v>
      </c>
      <c r="AE19" s="123" t="s">
        <v>305</v>
      </c>
      <c r="AF19" s="123" t="s">
        <v>305</v>
      </c>
      <c r="AG19" s="123" t="s">
        <v>305</v>
      </c>
      <c r="AH19" s="123" t="s">
        <v>305</v>
      </c>
      <c r="AI19" s="123" t="s">
        <v>305</v>
      </c>
      <c r="AJ19" s="123" t="s">
        <v>305</v>
      </c>
      <c r="AK19" s="123" t="s">
        <v>305</v>
      </c>
      <c r="AL19" s="123" t="s">
        <v>305</v>
      </c>
      <c r="AM19" s="123" t="s">
        <v>305</v>
      </c>
      <c r="AN19" s="123" t="s">
        <v>305</v>
      </c>
      <c r="AO19" s="123" t="s">
        <v>305</v>
      </c>
      <c r="AP19" s="123" t="s">
        <v>305</v>
      </c>
    </row>
    <row r="20" spans="1:42" ht="32.5" customHeight="1" x14ac:dyDescent="0.35">
      <c r="A20" s="159"/>
      <c r="B20" s="10" t="s">
        <v>278</v>
      </c>
      <c r="C20" s="122">
        <v>7</v>
      </c>
      <c r="D20" s="122">
        <v>5</v>
      </c>
      <c r="E20" s="122">
        <v>13</v>
      </c>
      <c r="F20" s="122">
        <v>10.5</v>
      </c>
      <c r="G20" s="122">
        <v>10</v>
      </c>
      <c r="H20" s="122">
        <v>5</v>
      </c>
      <c r="I20" s="122">
        <v>7</v>
      </c>
      <c r="J20" s="122">
        <v>9</v>
      </c>
      <c r="K20" s="122">
        <v>11</v>
      </c>
      <c r="L20" s="122">
        <v>11</v>
      </c>
      <c r="M20" s="122">
        <v>15</v>
      </c>
      <c r="N20" s="122">
        <v>12</v>
      </c>
      <c r="O20" s="122">
        <v>10</v>
      </c>
      <c r="P20" s="122">
        <v>9.5</v>
      </c>
      <c r="Q20" s="122">
        <v>8</v>
      </c>
      <c r="R20" s="122">
        <v>12</v>
      </c>
      <c r="S20" s="122">
        <v>9</v>
      </c>
      <c r="T20" s="122">
        <v>9.5</v>
      </c>
      <c r="U20" s="122">
        <v>12</v>
      </c>
      <c r="V20" s="122">
        <v>10</v>
      </c>
      <c r="W20" s="121">
        <v>10</v>
      </c>
      <c r="X20" s="121">
        <v>8</v>
      </c>
      <c r="Y20" s="121">
        <v>7</v>
      </c>
      <c r="Z20" s="121">
        <v>6.5</v>
      </c>
      <c r="AA20" s="121">
        <v>10</v>
      </c>
      <c r="AB20" s="121">
        <v>9</v>
      </c>
      <c r="AC20" s="121">
        <v>10</v>
      </c>
      <c r="AD20" s="121">
        <v>8</v>
      </c>
      <c r="AE20" s="121">
        <v>10</v>
      </c>
      <c r="AF20" s="121">
        <v>9</v>
      </c>
      <c r="AG20" s="121">
        <v>11.5</v>
      </c>
      <c r="AH20" s="121">
        <v>10</v>
      </c>
      <c r="AI20" s="121">
        <v>10</v>
      </c>
      <c r="AJ20" s="121">
        <v>10</v>
      </c>
      <c r="AK20" s="121">
        <v>10</v>
      </c>
      <c r="AL20" s="121">
        <v>10</v>
      </c>
      <c r="AM20" s="121">
        <v>10</v>
      </c>
      <c r="AN20" s="121">
        <v>8</v>
      </c>
      <c r="AO20" s="121">
        <v>11</v>
      </c>
      <c r="AP20" s="121">
        <v>9.5</v>
      </c>
    </row>
    <row r="21" spans="1:42" ht="32.5" customHeight="1" x14ac:dyDescent="0.35">
      <c r="A21" s="159"/>
      <c r="B21" s="10" t="s">
        <v>279</v>
      </c>
      <c r="C21" s="122">
        <v>7</v>
      </c>
      <c r="D21" s="122">
        <v>7</v>
      </c>
      <c r="E21" s="122">
        <v>7</v>
      </c>
      <c r="F21" s="122">
        <v>7</v>
      </c>
      <c r="G21" s="122">
        <v>7</v>
      </c>
      <c r="H21" s="122">
        <v>7</v>
      </c>
      <c r="I21" s="122">
        <v>7</v>
      </c>
      <c r="J21" s="122">
        <v>7</v>
      </c>
      <c r="K21" s="122">
        <v>7</v>
      </c>
      <c r="L21" s="122">
        <v>7</v>
      </c>
      <c r="M21" s="122">
        <v>7</v>
      </c>
      <c r="N21" s="122">
        <v>7</v>
      </c>
      <c r="O21" s="122">
        <v>7</v>
      </c>
      <c r="P21" s="122">
        <v>7</v>
      </c>
      <c r="Q21" s="122">
        <v>7</v>
      </c>
      <c r="R21" s="122">
        <v>7</v>
      </c>
      <c r="S21" s="122">
        <v>7</v>
      </c>
      <c r="T21" s="122">
        <v>7</v>
      </c>
      <c r="U21" s="122">
        <v>7</v>
      </c>
      <c r="V21" s="122">
        <v>7</v>
      </c>
      <c r="W21" s="121">
        <v>7</v>
      </c>
      <c r="X21" s="121">
        <v>7</v>
      </c>
      <c r="Y21" s="121">
        <v>7</v>
      </c>
      <c r="Z21" s="121">
        <v>7</v>
      </c>
      <c r="AA21" s="121">
        <v>7</v>
      </c>
      <c r="AB21" s="121">
        <v>7</v>
      </c>
      <c r="AC21" s="121">
        <v>7</v>
      </c>
      <c r="AD21" s="121">
        <v>7</v>
      </c>
      <c r="AE21" s="121">
        <v>7</v>
      </c>
      <c r="AF21" s="121">
        <v>7</v>
      </c>
      <c r="AG21" s="121">
        <v>7</v>
      </c>
      <c r="AH21" s="121">
        <v>7</v>
      </c>
      <c r="AI21" s="121">
        <v>7</v>
      </c>
      <c r="AJ21" s="121">
        <v>7</v>
      </c>
      <c r="AK21" s="121">
        <v>7</v>
      </c>
      <c r="AL21" s="121">
        <v>7</v>
      </c>
      <c r="AM21" s="121">
        <v>7</v>
      </c>
      <c r="AN21" s="121">
        <v>7</v>
      </c>
      <c r="AO21" s="121">
        <v>7</v>
      </c>
      <c r="AP21" s="121">
        <v>7</v>
      </c>
    </row>
    <row r="22" spans="1:42" x14ac:dyDescent="0.35">
      <c r="A22" s="4"/>
      <c r="W22" s="134"/>
      <c r="X22" s="134"/>
      <c r="Y22" s="134"/>
      <c r="Z22" s="134"/>
      <c r="AA22" s="134"/>
      <c r="AB22" s="134"/>
      <c r="AC22" s="134"/>
      <c r="AD22" s="134"/>
      <c r="AE22" s="134"/>
      <c r="AF22" s="134"/>
      <c r="AG22" s="134"/>
      <c r="AH22" s="134"/>
      <c r="AI22" s="134"/>
      <c r="AJ22" s="134"/>
      <c r="AK22" s="134"/>
      <c r="AL22" s="134"/>
      <c r="AM22" s="134"/>
      <c r="AN22" s="134"/>
      <c r="AO22" s="134"/>
      <c r="AP22" s="134"/>
    </row>
    <row r="23" spans="1:42" ht="30.75" customHeight="1" x14ac:dyDescent="0.35">
      <c r="A23" s="159" t="s">
        <v>44</v>
      </c>
      <c r="B23" s="10" t="s">
        <v>119</v>
      </c>
      <c r="C23" s="121" t="s">
        <v>306</v>
      </c>
      <c r="D23" s="121" t="s">
        <v>306</v>
      </c>
      <c r="E23" s="121" t="s">
        <v>306</v>
      </c>
      <c r="F23" s="121" t="s">
        <v>306</v>
      </c>
      <c r="G23" s="121" t="s">
        <v>306</v>
      </c>
      <c r="H23" s="121" t="s">
        <v>306</v>
      </c>
      <c r="I23" s="121" t="s">
        <v>306</v>
      </c>
      <c r="J23" s="121" t="s">
        <v>306</v>
      </c>
      <c r="K23" s="121" t="s">
        <v>306</v>
      </c>
      <c r="L23" s="121" t="s">
        <v>306</v>
      </c>
      <c r="M23" s="121" t="s">
        <v>306</v>
      </c>
      <c r="N23" s="121" t="s">
        <v>306</v>
      </c>
      <c r="O23" s="121" t="s">
        <v>306</v>
      </c>
      <c r="P23" s="121" t="s">
        <v>306</v>
      </c>
      <c r="Q23" s="121" t="s">
        <v>306</v>
      </c>
      <c r="R23" s="121" t="s">
        <v>306</v>
      </c>
      <c r="S23" s="121" t="s">
        <v>306</v>
      </c>
      <c r="T23" s="121" t="s">
        <v>306</v>
      </c>
      <c r="U23" s="121" t="s">
        <v>306</v>
      </c>
      <c r="V23" s="121" t="s">
        <v>306</v>
      </c>
      <c r="W23" s="121" t="s">
        <v>306</v>
      </c>
      <c r="X23" s="121" t="s">
        <v>306</v>
      </c>
      <c r="Y23" s="121" t="s">
        <v>306</v>
      </c>
      <c r="Z23" s="121" t="s">
        <v>306</v>
      </c>
      <c r="AA23" s="121" t="s">
        <v>306</v>
      </c>
      <c r="AB23" s="121" t="s">
        <v>306</v>
      </c>
      <c r="AC23" s="121" t="s">
        <v>306</v>
      </c>
      <c r="AD23" s="121" t="s">
        <v>306</v>
      </c>
      <c r="AE23" s="121" t="s">
        <v>306</v>
      </c>
      <c r="AF23" s="121" t="s">
        <v>306</v>
      </c>
      <c r="AG23" s="121" t="s">
        <v>306</v>
      </c>
      <c r="AH23" s="121" t="s">
        <v>306</v>
      </c>
      <c r="AI23" s="121" t="s">
        <v>306</v>
      </c>
      <c r="AJ23" s="121" t="s">
        <v>306</v>
      </c>
      <c r="AK23" s="121" t="s">
        <v>306</v>
      </c>
      <c r="AL23" s="121" t="s">
        <v>306</v>
      </c>
      <c r="AM23" s="121" t="s">
        <v>306</v>
      </c>
      <c r="AN23" s="121" t="s">
        <v>306</v>
      </c>
      <c r="AO23" s="121" t="s">
        <v>306</v>
      </c>
      <c r="AP23" s="121" t="s">
        <v>306</v>
      </c>
    </row>
    <row r="24" spans="1:42" ht="30.75" customHeight="1" x14ac:dyDescent="0.35">
      <c r="A24" s="159"/>
      <c r="B24" s="10" t="s">
        <v>120</v>
      </c>
      <c r="C24" s="123" t="s">
        <v>307</v>
      </c>
      <c r="D24" s="123" t="s">
        <v>307</v>
      </c>
      <c r="E24" s="123" t="s">
        <v>307</v>
      </c>
      <c r="F24" s="123" t="s">
        <v>307</v>
      </c>
      <c r="G24" s="123" t="s">
        <v>307</v>
      </c>
      <c r="H24" s="123" t="s">
        <v>307</v>
      </c>
      <c r="I24" s="123" t="s">
        <v>307</v>
      </c>
      <c r="J24" s="123" t="s">
        <v>307</v>
      </c>
      <c r="K24" s="123" t="s">
        <v>307</v>
      </c>
      <c r="L24" s="123" t="s">
        <v>307</v>
      </c>
      <c r="M24" s="123" t="s">
        <v>307</v>
      </c>
      <c r="N24" s="123" t="s">
        <v>307</v>
      </c>
      <c r="O24" s="123" t="s">
        <v>307</v>
      </c>
      <c r="P24" s="123" t="s">
        <v>307</v>
      </c>
      <c r="Q24" s="123" t="s">
        <v>307</v>
      </c>
      <c r="R24" s="123" t="s">
        <v>307</v>
      </c>
      <c r="S24" s="123" t="s">
        <v>307</v>
      </c>
      <c r="T24" s="123" t="s">
        <v>307</v>
      </c>
      <c r="U24" s="123" t="s">
        <v>307</v>
      </c>
      <c r="V24" s="123" t="s">
        <v>307</v>
      </c>
      <c r="W24" s="123" t="s">
        <v>307</v>
      </c>
      <c r="X24" s="123" t="s">
        <v>307</v>
      </c>
      <c r="Y24" s="123" t="s">
        <v>307</v>
      </c>
      <c r="Z24" s="123" t="s">
        <v>307</v>
      </c>
      <c r="AA24" s="123" t="s">
        <v>307</v>
      </c>
      <c r="AB24" s="123" t="s">
        <v>307</v>
      </c>
      <c r="AC24" s="123" t="s">
        <v>307</v>
      </c>
      <c r="AD24" s="123" t="s">
        <v>307</v>
      </c>
      <c r="AE24" s="123" t="s">
        <v>307</v>
      </c>
      <c r="AF24" s="123" t="s">
        <v>307</v>
      </c>
      <c r="AG24" s="123" t="s">
        <v>307</v>
      </c>
      <c r="AH24" s="123" t="s">
        <v>307</v>
      </c>
      <c r="AI24" s="123" t="s">
        <v>307</v>
      </c>
      <c r="AJ24" s="123" t="s">
        <v>307</v>
      </c>
      <c r="AK24" s="123" t="s">
        <v>307</v>
      </c>
      <c r="AL24" s="123" t="s">
        <v>307</v>
      </c>
      <c r="AM24" s="123" t="s">
        <v>307</v>
      </c>
      <c r="AN24" s="123" t="s">
        <v>307</v>
      </c>
      <c r="AO24" s="123" t="s">
        <v>307</v>
      </c>
      <c r="AP24" s="123" t="s">
        <v>307</v>
      </c>
    </row>
    <row r="25" spans="1:42" ht="30.75" customHeight="1" x14ac:dyDescent="0.35">
      <c r="A25" s="159"/>
      <c r="B25" s="10" t="s">
        <v>121</v>
      </c>
      <c r="C25" s="123" t="s">
        <v>308</v>
      </c>
      <c r="D25" s="123" t="s">
        <v>308</v>
      </c>
      <c r="E25" s="123" t="s">
        <v>308</v>
      </c>
      <c r="F25" s="123" t="s">
        <v>308</v>
      </c>
      <c r="G25" s="123" t="s">
        <v>308</v>
      </c>
      <c r="H25" s="123" t="s">
        <v>308</v>
      </c>
      <c r="I25" s="123" t="s">
        <v>308</v>
      </c>
      <c r="J25" s="123" t="s">
        <v>308</v>
      </c>
      <c r="K25" s="123" t="s">
        <v>308</v>
      </c>
      <c r="L25" s="123" t="s">
        <v>308</v>
      </c>
      <c r="M25" s="123" t="s">
        <v>308</v>
      </c>
      <c r="N25" s="123" t="s">
        <v>308</v>
      </c>
      <c r="O25" s="123" t="s">
        <v>308</v>
      </c>
      <c r="P25" s="123" t="s">
        <v>308</v>
      </c>
      <c r="Q25" s="123" t="s">
        <v>308</v>
      </c>
      <c r="R25" s="123" t="s">
        <v>308</v>
      </c>
      <c r="S25" s="123" t="s">
        <v>308</v>
      </c>
      <c r="T25" s="123" t="s">
        <v>308</v>
      </c>
      <c r="U25" s="123" t="s">
        <v>308</v>
      </c>
      <c r="V25" s="123" t="s">
        <v>308</v>
      </c>
      <c r="W25" s="123" t="s">
        <v>308</v>
      </c>
      <c r="X25" s="123" t="s">
        <v>308</v>
      </c>
      <c r="Y25" s="123" t="s">
        <v>308</v>
      </c>
      <c r="Z25" s="123" t="s">
        <v>308</v>
      </c>
      <c r="AA25" s="123" t="s">
        <v>308</v>
      </c>
      <c r="AB25" s="123" t="s">
        <v>308</v>
      </c>
      <c r="AC25" s="123" t="s">
        <v>308</v>
      </c>
      <c r="AD25" s="123" t="s">
        <v>308</v>
      </c>
      <c r="AE25" s="123" t="s">
        <v>308</v>
      </c>
      <c r="AF25" s="123" t="s">
        <v>308</v>
      </c>
      <c r="AG25" s="123" t="s">
        <v>308</v>
      </c>
      <c r="AH25" s="123" t="s">
        <v>308</v>
      </c>
      <c r="AI25" s="123" t="s">
        <v>308</v>
      </c>
      <c r="AJ25" s="123" t="s">
        <v>308</v>
      </c>
      <c r="AK25" s="123" t="s">
        <v>308</v>
      </c>
      <c r="AL25" s="123" t="s">
        <v>308</v>
      </c>
      <c r="AM25" s="123" t="s">
        <v>308</v>
      </c>
      <c r="AN25" s="123" t="s">
        <v>308</v>
      </c>
      <c r="AO25" s="123" t="s">
        <v>308</v>
      </c>
      <c r="AP25" s="123" t="s">
        <v>308</v>
      </c>
    </row>
    <row r="26" spans="1:42" ht="30.75" customHeight="1" x14ac:dyDescent="0.35">
      <c r="A26" s="159"/>
      <c r="B26" s="10" t="s">
        <v>122</v>
      </c>
      <c r="C26" s="123" t="s">
        <v>309</v>
      </c>
      <c r="D26" s="123" t="s">
        <v>309</v>
      </c>
      <c r="E26" s="123" t="s">
        <v>309</v>
      </c>
      <c r="F26" s="123" t="s">
        <v>309</v>
      </c>
      <c r="G26" s="123" t="s">
        <v>309</v>
      </c>
      <c r="H26" s="123" t="s">
        <v>309</v>
      </c>
      <c r="I26" s="123" t="s">
        <v>309</v>
      </c>
      <c r="J26" s="123" t="s">
        <v>309</v>
      </c>
      <c r="K26" s="123" t="s">
        <v>309</v>
      </c>
      <c r="L26" s="123" t="s">
        <v>309</v>
      </c>
      <c r="M26" s="123" t="s">
        <v>309</v>
      </c>
      <c r="N26" s="123" t="s">
        <v>309</v>
      </c>
      <c r="O26" s="123" t="s">
        <v>309</v>
      </c>
      <c r="P26" s="123" t="s">
        <v>309</v>
      </c>
      <c r="Q26" s="123" t="s">
        <v>309</v>
      </c>
      <c r="R26" s="123" t="s">
        <v>309</v>
      </c>
      <c r="S26" s="123" t="s">
        <v>309</v>
      </c>
      <c r="T26" s="123" t="s">
        <v>309</v>
      </c>
      <c r="U26" s="123" t="s">
        <v>309</v>
      </c>
      <c r="V26" s="123" t="s">
        <v>309</v>
      </c>
      <c r="W26" s="123" t="s">
        <v>309</v>
      </c>
      <c r="X26" s="123" t="s">
        <v>309</v>
      </c>
      <c r="Y26" s="123" t="s">
        <v>309</v>
      </c>
      <c r="Z26" s="123" t="s">
        <v>309</v>
      </c>
      <c r="AA26" s="123" t="s">
        <v>309</v>
      </c>
      <c r="AB26" s="123" t="s">
        <v>309</v>
      </c>
      <c r="AC26" s="123" t="s">
        <v>309</v>
      </c>
      <c r="AD26" s="123" t="s">
        <v>309</v>
      </c>
      <c r="AE26" s="123" t="s">
        <v>309</v>
      </c>
      <c r="AF26" s="123" t="s">
        <v>309</v>
      </c>
      <c r="AG26" s="123" t="s">
        <v>309</v>
      </c>
      <c r="AH26" s="123" t="s">
        <v>309</v>
      </c>
      <c r="AI26" s="123" t="s">
        <v>309</v>
      </c>
      <c r="AJ26" s="123" t="s">
        <v>309</v>
      </c>
      <c r="AK26" s="123" t="s">
        <v>309</v>
      </c>
      <c r="AL26" s="123" t="s">
        <v>309</v>
      </c>
      <c r="AM26" s="123" t="s">
        <v>309</v>
      </c>
      <c r="AN26" s="123" t="s">
        <v>309</v>
      </c>
      <c r="AO26" s="123" t="s">
        <v>309</v>
      </c>
      <c r="AP26" s="123" t="s">
        <v>309</v>
      </c>
    </row>
    <row r="27" spans="1:42" ht="30.75" customHeight="1" x14ac:dyDescent="0.35">
      <c r="A27" s="159"/>
      <c r="B27" s="10" t="s">
        <v>171</v>
      </c>
      <c r="C27" s="122"/>
      <c r="D27" s="122"/>
      <c r="E27" s="122"/>
      <c r="F27" s="122"/>
      <c r="G27" s="122"/>
      <c r="H27" s="122"/>
      <c r="I27" s="122"/>
      <c r="J27" s="122"/>
      <c r="K27" s="122"/>
      <c r="L27" s="122"/>
      <c r="M27" s="122"/>
      <c r="N27" s="122"/>
      <c r="O27" s="122"/>
      <c r="P27" s="122"/>
      <c r="Q27" s="122"/>
      <c r="R27" s="122"/>
      <c r="S27" s="122"/>
      <c r="T27" s="122"/>
      <c r="U27" s="122"/>
      <c r="V27" s="122"/>
      <c r="W27" s="121"/>
      <c r="X27" s="121"/>
      <c r="Y27" s="121"/>
      <c r="Z27" s="121"/>
      <c r="AA27" s="121"/>
      <c r="AB27" s="121"/>
      <c r="AC27" s="121"/>
      <c r="AD27" s="121"/>
      <c r="AE27" s="121"/>
      <c r="AF27" s="121"/>
      <c r="AG27" s="121"/>
      <c r="AH27" s="121"/>
      <c r="AI27" s="121"/>
      <c r="AJ27" s="121"/>
      <c r="AK27" s="121"/>
      <c r="AL27" s="121"/>
      <c r="AM27" s="121"/>
      <c r="AN27" s="121"/>
      <c r="AO27" s="121"/>
      <c r="AP27" s="121"/>
    </row>
    <row r="28" spans="1:42" ht="30.75" customHeight="1" x14ac:dyDescent="0.35">
      <c r="A28" s="159"/>
      <c r="B28" s="135" t="s">
        <v>172</v>
      </c>
      <c r="C28" s="124">
        <v>8000000</v>
      </c>
      <c r="D28" s="124">
        <f>SUM(D29+D30)</f>
        <v>6300000</v>
      </c>
      <c r="E28" s="124">
        <f t="shared" ref="E28:AP28" si="0">SUM(E29+E30)</f>
        <v>10800000</v>
      </c>
      <c r="F28" s="124">
        <f t="shared" si="0"/>
        <v>8000000</v>
      </c>
      <c r="G28" s="124">
        <f t="shared" si="0"/>
        <v>8000000</v>
      </c>
      <c r="H28" s="124">
        <f t="shared" si="0"/>
        <v>7000000</v>
      </c>
      <c r="I28" s="124">
        <f t="shared" si="0"/>
        <v>8000000</v>
      </c>
      <c r="J28" s="124">
        <f t="shared" si="0"/>
        <v>11000000</v>
      </c>
      <c r="K28" s="124">
        <f t="shared" si="0"/>
        <v>16000000</v>
      </c>
      <c r="L28" s="124">
        <f t="shared" si="0"/>
        <v>9750000</v>
      </c>
      <c r="M28" s="124">
        <f t="shared" si="0"/>
        <v>16000000</v>
      </c>
      <c r="N28" s="124">
        <f t="shared" si="0"/>
        <v>10600000</v>
      </c>
      <c r="O28" s="124">
        <f t="shared" si="0"/>
        <v>11000000</v>
      </c>
      <c r="P28" s="124">
        <f t="shared" si="0"/>
        <v>11000000</v>
      </c>
      <c r="Q28" s="124">
        <f t="shared" si="0"/>
        <v>8900000</v>
      </c>
      <c r="R28" s="124">
        <f t="shared" si="0"/>
        <v>5400000</v>
      </c>
      <c r="S28" s="124">
        <f t="shared" si="0"/>
        <v>13500000</v>
      </c>
      <c r="T28" s="124">
        <f t="shared" si="0"/>
        <v>13000000</v>
      </c>
      <c r="U28" s="124">
        <f t="shared" si="0"/>
        <v>15000000</v>
      </c>
      <c r="V28" s="124">
        <f t="shared" si="0"/>
        <v>10000000</v>
      </c>
      <c r="W28" s="139">
        <f t="shared" si="0"/>
        <v>3000000</v>
      </c>
      <c r="X28" s="139">
        <f t="shared" si="0"/>
        <v>4500000</v>
      </c>
      <c r="Y28" s="139">
        <f t="shared" si="0"/>
        <v>5500000</v>
      </c>
      <c r="Z28" s="139">
        <f t="shared" si="0"/>
        <v>3000000</v>
      </c>
      <c r="AA28" s="139">
        <f t="shared" si="0"/>
        <v>4500000</v>
      </c>
      <c r="AB28" s="139">
        <f t="shared" si="0"/>
        <v>4500000</v>
      </c>
      <c r="AC28" s="139">
        <f t="shared" si="0"/>
        <v>6000000</v>
      </c>
      <c r="AD28" s="139">
        <f t="shared" si="0"/>
        <v>4500000</v>
      </c>
      <c r="AE28" s="139">
        <f t="shared" si="0"/>
        <v>5100000</v>
      </c>
      <c r="AF28" s="139">
        <f t="shared" si="0"/>
        <v>5100000</v>
      </c>
      <c r="AG28" s="139">
        <f t="shared" si="0"/>
        <v>6000000</v>
      </c>
      <c r="AH28" s="139">
        <f t="shared" si="0"/>
        <v>5000000</v>
      </c>
      <c r="AI28" s="139">
        <f t="shared" si="0"/>
        <v>5000000</v>
      </c>
      <c r="AJ28" s="139">
        <f t="shared" si="0"/>
        <v>4500000</v>
      </c>
      <c r="AK28" s="139">
        <f t="shared" si="0"/>
        <v>4500000</v>
      </c>
      <c r="AL28" s="139">
        <f t="shared" si="0"/>
        <v>5100000</v>
      </c>
      <c r="AM28" s="139">
        <f t="shared" si="0"/>
        <v>6000000</v>
      </c>
      <c r="AN28" s="139">
        <f t="shared" si="0"/>
        <v>4500000</v>
      </c>
      <c r="AO28" s="139">
        <f t="shared" si="0"/>
        <v>6000000</v>
      </c>
      <c r="AP28" s="139">
        <f t="shared" si="0"/>
        <v>7500000</v>
      </c>
    </row>
    <row r="29" spans="1:42" ht="30.75" customHeight="1" x14ac:dyDescent="0.35">
      <c r="A29" s="159"/>
      <c r="B29" s="135" t="s">
        <v>174</v>
      </c>
      <c r="C29" s="124">
        <v>5000000</v>
      </c>
      <c r="D29" s="124">
        <v>3500000</v>
      </c>
      <c r="E29" s="124">
        <v>3900000</v>
      </c>
      <c r="F29" s="124">
        <v>5000000</v>
      </c>
      <c r="G29" s="124">
        <v>5000000</v>
      </c>
      <c r="H29" s="124">
        <v>4000000</v>
      </c>
      <c r="I29" s="124">
        <v>5000000</v>
      </c>
      <c r="J29" s="124">
        <v>6500000</v>
      </c>
      <c r="K29" s="124">
        <v>10000000</v>
      </c>
      <c r="L29" s="124">
        <v>4500000</v>
      </c>
      <c r="M29" s="124">
        <v>10000000</v>
      </c>
      <c r="N29" s="124">
        <v>4000000</v>
      </c>
      <c r="O29" s="124">
        <v>5000000</v>
      </c>
      <c r="P29" s="124">
        <v>5000000</v>
      </c>
      <c r="Q29" s="124">
        <v>5000000</v>
      </c>
      <c r="R29" s="124">
        <v>3000000</v>
      </c>
      <c r="S29" s="124">
        <v>9000000</v>
      </c>
      <c r="T29" s="124">
        <v>10000000</v>
      </c>
      <c r="U29" s="124">
        <v>12000000</v>
      </c>
      <c r="V29" s="124">
        <v>7000000</v>
      </c>
      <c r="W29" s="139">
        <v>0</v>
      </c>
      <c r="X29" s="139">
        <v>0</v>
      </c>
      <c r="Y29" s="139">
        <v>0</v>
      </c>
      <c r="Z29" s="139">
        <v>0</v>
      </c>
      <c r="AA29" s="139">
        <v>0</v>
      </c>
      <c r="AB29" s="139">
        <v>0</v>
      </c>
      <c r="AC29" s="139">
        <v>0</v>
      </c>
      <c r="AD29" s="139">
        <v>0</v>
      </c>
      <c r="AE29" s="139">
        <v>0</v>
      </c>
      <c r="AF29" s="139">
        <v>0</v>
      </c>
      <c r="AG29" s="139">
        <v>0</v>
      </c>
      <c r="AH29" s="139">
        <v>0</v>
      </c>
      <c r="AI29" s="139">
        <v>0</v>
      </c>
      <c r="AJ29" s="139">
        <v>0</v>
      </c>
      <c r="AK29" s="139">
        <v>0</v>
      </c>
      <c r="AL29" s="139">
        <v>0</v>
      </c>
      <c r="AM29" s="139">
        <v>0</v>
      </c>
      <c r="AN29" s="139">
        <v>0</v>
      </c>
      <c r="AO29" s="139">
        <v>0</v>
      </c>
      <c r="AP29" s="139">
        <v>0</v>
      </c>
    </row>
    <row r="30" spans="1:42" ht="30.75" customHeight="1" x14ac:dyDescent="0.35">
      <c r="A30" s="159"/>
      <c r="B30" s="135" t="s">
        <v>173</v>
      </c>
      <c r="C30" s="124">
        <v>3000000</v>
      </c>
      <c r="D30" s="124">
        <v>2800000</v>
      </c>
      <c r="E30" s="124">
        <f>230000*30</f>
        <v>6900000</v>
      </c>
      <c r="F30" s="124">
        <v>3000000</v>
      </c>
      <c r="G30" s="124">
        <v>3000000</v>
      </c>
      <c r="H30" s="124">
        <v>3000000</v>
      </c>
      <c r="I30" s="124">
        <v>3000000</v>
      </c>
      <c r="J30" s="124">
        <v>4500000</v>
      </c>
      <c r="K30" s="124">
        <v>6000000</v>
      </c>
      <c r="L30" s="124">
        <f>175000*30</f>
        <v>5250000</v>
      </c>
      <c r="M30" s="124">
        <v>6000000</v>
      </c>
      <c r="N30" s="124">
        <f>220000*30</f>
        <v>6600000</v>
      </c>
      <c r="O30" s="124">
        <v>6000000</v>
      </c>
      <c r="P30" s="124">
        <f>200000*30</f>
        <v>6000000</v>
      </c>
      <c r="Q30" s="124">
        <f>130000*30</f>
        <v>3900000</v>
      </c>
      <c r="R30" s="124">
        <f>80000*30</f>
        <v>2400000</v>
      </c>
      <c r="S30" s="124">
        <f>150000*30</f>
        <v>4500000</v>
      </c>
      <c r="T30" s="124">
        <v>3000000</v>
      </c>
      <c r="U30" s="124">
        <v>3000000</v>
      </c>
      <c r="V30" s="124">
        <v>3000000</v>
      </c>
      <c r="W30" s="139">
        <v>3000000</v>
      </c>
      <c r="X30" s="139">
        <v>4500000</v>
      </c>
      <c r="Y30" s="139">
        <v>5500000</v>
      </c>
      <c r="Z30" s="139">
        <v>3000000</v>
      </c>
      <c r="AA30" s="139">
        <v>4500000</v>
      </c>
      <c r="AB30" s="139">
        <v>4500000</v>
      </c>
      <c r="AC30" s="139">
        <v>6000000</v>
      </c>
      <c r="AD30" s="139">
        <v>4500000</v>
      </c>
      <c r="AE30" s="139">
        <f>170000*30</f>
        <v>5100000</v>
      </c>
      <c r="AF30" s="139">
        <f>170000*30</f>
        <v>5100000</v>
      </c>
      <c r="AG30" s="139">
        <v>6000000</v>
      </c>
      <c r="AH30" s="139">
        <v>5000000</v>
      </c>
      <c r="AI30" s="139">
        <v>5000000</v>
      </c>
      <c r="AJ30" s="139">
        <v>4500000</v>
      </c>
      <c r="AK30" s="139">
        <v>4500000</v>
      </c>
      <c r="AL30" s="139">
        <f>170000*30</f>
        <v>5100000</v>
      </c>
      <c r="AM30" s="139">
        <f>6000000</f>
        <v>6000000</v>
      </c>
      <c r="AN30" s="139">
        <v>4500000</v>
      </c>
      <c r="AO30" s="139">
        <v>6000000</v>
      </c>
      <c r="AP30" s="139">
        <v>7500000</v>
      </c>
    </row>
    <row r="31" spans="1:42" ht="30.75" customHeight="1" x14ac:dyDescent="0.35">
      <c r="A31" s="159"/>
      <c r="B31" s="10" t="s">
        <v>175</v>
      </c>
      <c r="C31" s="122"/>
      <c r="D31" s="122"/>
      <c r="E31" s="122"/>
      <c r="F31" s="122"/>
      <c r="G31" s="122"/>
      <c r="H31" s="122"/>
      <c r="I31" s="122"/>
      <c r="J31" s="122"/>
      <c r="K31" s="122"/>
      <c r="L31" s="122"/>
      <c r="M31" s="122"/>
      <c r="N31" s="122"/>
      <c r="O31" s="122"/>
      <c r="P31" s="122"/>
      <c r="Q31" s="122"/>
      <c r="R31" s="122"/>
      <c r="S31" s="122"/>
      <c r="T31" s="122"/>
      <c r="U31" s="122"/>
      <c r="V31" s="122"/>
      <c r="W31" s="121"/>
      <c r="X31" s="121"/>
      <c r="Y31" s="121"/>
      <c r="Z31" s="121"/>
      <c r="AA31" s="121"/>
      <c r="AB31" s="121"/>
      <c r="AC31" s="121"/>
      <c r="AD31" s="121"/>
      <c r="AE31" s="121"/>
      <c r="AF31" s="121"/>
      <c r="AG31" s="121"/>
      <c r="AH31" s="121"/>
      <c r="AI31" s="121"/>
      <c r="AJ31" s="121"/>
      <c r="AK31" s="121"/>
      <c r="AL31" s="121"/>
      <c r="AM31" s="121"/>
      <c r="AN31" s="121"/>
      <c r="AO31" s="121"/>
      <c r="AP31" s="121"/>
    </row>
    <row r="32" spans="1:42" ht="30.5" customHeight="1" x14ac:dyDescent="0.35">
      <c r="A32" s="159"/>
      <c r="B32" s="135" t="s">
        <v>176</v>
      </c>
      <c r="C32" s="125">
        <v>0.2</v>
      </c>
      <c r="D32" s="125">
        <v>0.2</v>
      </c>
      <c r="E32" s="125">
        <v>0.25</v>
      </c>
      <c r="F32" s="125">
        <v>0.25</v>
      </c>
      <c r="G32" s="125">
        <v>0.2</v>
      </c>
      <c r="H32" s="125">
        <v>0.25</v>
      </c>
      <c r="I32" s="137">
        <v>0.125</v>
      </c>
      <c r="J32" s="125">
        <f>25/150</f>
        <v>0.16666666666666666</v>
      </c>
      <c r="K32" s="125">
        <f>30/200</f>
        <v>0.15</v>
      </c>
      <c r="L32" s="125">
        <f>50/180</f>
        <v>0.27777777777777779</v>
      </c>
      <c r="M32" s="125">
        <f>35/200</f>
        <v>0.17499999999999999</v>
      </c>
      <c r="N32" s="125">
        <f>50/220</f>
        <v>0.22727272727272727</v>
      </c>
      <c r="O32" s="125">
        <f>50/200</f>
        <v>0.25</v>
      </c>
      <c r="P32" s="125">
        <f>200/800</f>
        <v>0.25</v>
      </c>
      <c r="Q32" s="125">
        <f>30/135</f>
        <v>0.22222222222222221</v>
      </c>
      <c r="R32" s="125">
        <f>20/80</f>
        <v>0.25</v>
      </c>
      <c r="S32" s="125">
        <f>25/150</f>
        <v>0.16666666666666666</v>
      </c>
      <c r="T32" s="125">
        <f>15/100</f>
        <v>0.15</v>
      </c>
      <c r="U32" s="125">
        <f>25/115</f>
        <v>0.21739130434782608</v>
      </c>
      <c r="V32" s="125">
        <f>20/110</f>
        <v>0.18181818181818182</v>
      </c>
      <c r="W32" s="126">
        <f>30/100</f>
        <v>0.3</v>
      </c>
      <c r="X32" s="126">
        <f>125/600</f>
        <v>0.20833333333333334</v>
      </c>
      <c r="Y32" s="126">
        <f>40/180</f>
        <v>0.22222222222222221</v>
      </c>
      <c r="Z32" s="126">
        <v>0.2</v>
      </c>
      <c r="AA32" s="126">
        <f>35/150</f>
        <v>0.23333333333333334</v>
      </c>
      <c r="AB32" s="126">
        <f>100/375</f>
        <v>0.26666666666666666</v>
      </c>
      <c r="AC32" s="126">
        <f>50/200</f>
        <v>0.25</v>
      </c>
      <c r="AD32" s="126">
        <f>25/150</f>
        <v>0.16666666666666666</v>
      </c>
      <c r="AE32" s="126">
        <f>30/115</f>
        <v>0.2608695652173913</v>
      </c>
      <c r="AF32" s="126">
        <f>25/170</f>
        <v>0.14705882352941177</v>
      </c>
      <c r="AG32" s="126">
        <f>30/200</f>
        <v>0.15</v>
      </c>
      <c r="AH32" s="126">
        <f>25/150</f>
        <v>0.16666666666666666</v>
      </c>
      <c r="AI32" s="126">
        <f>20/170</f>
        <v>0.11764705882352941</v>
      </c>
      <c r="AJ32" s="126">
        <f>35/200</f>
        <v>0.17499999999999999</v>
      </c>
      <c r="AK32" s="126">
        <f>25/150</f>
        <v>0.16666666666666666</v>
      </c>
      <c r="AL32" s="126">
        <f>25/200</f>
        <v>0.125</v>
      </c>
      <c r="AM32" s="126">
        <f>30/200</f>
        <v>0.15</v>
      </c>
      <c r="AN32" s="126">
        <f>25/150</f>
        <v>0.16666666666666666</v>
      </c>
      <c r="AO32" s="126">
        <f>25/200</f>
        <v>0.125</v>
      </c>
      <c r="AP32" s="126">
        <f>40/250</f>
        <v>0.16</v>
      </c>
    </row>
    <row r="33" spans="1:42" ht="30.75" customHeight="1" x14ac:dyDescent="0.35">
      <c r="A33" s="159"/>
      <c r="B33" s="135" t="s">
        <v>177</v>
      </c>
      <c r="C33" s="125">
        <v>0.2</v>
      </c>
      <c r="D33" s="125">
        <v>0.2</v>
      </c>
      <c r="E33" s="125">
        <v>0.25</v>
      </c>
      <c r="F33" s="125">
        <v>0.25</v>
      </c>
      <c r="G33" s="125">
        <v>0.2</v>
      </c>
      <c r="H33" s="125">
        <v>0.25</v>
      </c>
      <c r="I33" s="137">
        <v>0.125</v>
      </c>
      <c r="J33" s="125">
        <f>25/150</f>
        <v>0.16666666666666666</v>
      </c>
      <c r="K33" s="125">
        <f>30/200</f>
        <v>0.15</v>
      </c>
      <c r="L33" s="125">
        <f>50/180</f>
        <v>0.27777777777777779</v>
      </c>
      <c r="M33" s="125">
        <f>35/200</f>
        <v>0.17499999999999999</v>
      </c>
      <c r="N33" s="125">
        <f>50/220</f>
        <v>0.22727272727272727</v>
      </c>
      <c r="O33" s="125">
        <f>50/200</f>
        <v>0.25</v>
      </c>
      <c r="P33" s="125">
        <f>200/800</f>
        <v>0.25</v>
      </c>
      <c r="Q33" s="125">
        <f>30/135</f>
        <v>0.22222222222222221</v>
      </c>
      <c r="R33" s="125">
        <f>20/80</f>
        <v>0.25</v>
      </c>
      <c r="S33" s="125">
        <f>25/150</f>
        <v>0.16666666666666666</v>
      </c>
      <c r="T33" s="125">
        <f>15/100</f>
        <v>0.15</v>
      </c>
      <c r="U33" s="125">
        <f>25/115</f>
        <v>0.21739130434782608</v>
      </c>
      <c r="V33" s="125">
        <f>20/110</f>
        <v>0.18181818181818182</v>
      </c>
      <c r="W33" s="126">
        <f>30/100</f>
        <v>0.3</v>
      </c>
      <c r="X33" s="126">
        <f>125/600</f>
        <v>0.20833333333333334</v>
      </c>
      <c r="Y33" s="126">
        <f>40/180</f>
        <v>0.22222222222222221</v>
      </c>
      <c r="Z33" s="126">
        <v>0.2</v>
      </c>
      <c r="AA33" s="126">
        <f>35/150</f>
        <v>0.23333333333333334</v>
      </c>
      <c r="AB33" s="126">
        <f>100/375</f>
        <v>0.26666666666666666</v>
      </c>
      <c r="AC33" s="126">
        <f>50/200</f>
        <v>0.25</v>
      </c>
      <c r="AD33" s="126">
        <f>25/150</f>
        <v>0.16666666666666666</v>
      </c>
      <c r="AE33" s="126">
        <f>30/115</f>
        <v>0.2608695652173913</v>
      </c>
      <c r="AF33" s="126">
        <f>25/170</f>
        <v>0.14705882352941177</v>
      </c>
      <c r="AG33" s="126">
        <f>30/200</f>
        <v>0.15</v>
      </c>
      <c r="AH33" s="126">
        <f>25/150</f>
        <v>0.16666666666666666</v>
      </c>
      <c r="AI33" s="126">
        <f>20/170</f>
        <v>0.11764705882352941</v>
      </c>
      <c r="AJ33" s="126">
        <f>35/200</f>
        <v>0.17499999999999999</v>
      </c>
      <c r="AK33" s="126">
        <f>25/150</f>
        <v>0.16666666666666666</v>
      </c>
      <c r="AL33" s="126">
        <f>25/200</f>
        <v>0.125</v>
      </c>
      <c r="AM33" s="126">
        <f>20/200</f>
        <v>0.1</v>
      </c>
      <c r="AN33" s="126">
        <f>25/150</f>
        <v>0.16666666666666666</v>
      </c>
      <c r="AO33" s="126">
        <f>25/200</f>
        <v>0.125</v>
      </c>
      <c r="AP33" s="126">
        <f>40/250</f>
        <v>0.16</v>
      </c>
    </row>
    <row r="34" spans="1:42" ht="30.75" customHeight="1" x14ac:dyDescent="0.35">
      <c r="A34" s="159"/>
      <c r="B34" s="135" t="s">
        <v>178</v>
      </c>
      <c r="C34" s="125" t="s">
        <v>305</v>
      </c>
      <c r="D34" s="126" t="s">
        <v>305</v>
      </c>
      <c r="E34" s="126" t="s">
        <v>313</v>
      </c>
      <c r="F34" s="126" t="s">
        <v>313</v>
      </c>
      <c r="G34" s="126" t="s">
        <v>313</v>
      </c>
      <c r="H34" s="126" t="s">
        <v>313</v>
      </c>
      <c r="I34" s="138" t="s">
        <v>313</v>
      </c>
      <c r="J34" s="126" t="s">
        <v>313</v>
      </c>
      <c r="K34" s="126" t="s">
        <v>313</v>
      </c>
      <c r="L34" s="126" t="s">
        <v>313</v>
      </c>
      <c r="M34" s="126" t="s">
        <v>313</v>
      </c>
      <c r="N34" s="126" t="s">
        <v>313</v>
      </c>
      <c r="O34" s="126" t="s">
        <v>313</v>
      </c>
      <c r="P34" s="126" t="s">
        <v>313</v>
      </c>
      <c r="Q34" s="126" t="s">
        <v>313</v>
      </c>
      <c r="R34" s="126" t="s">
        <v>313</v>
      </c>
      <c r="S34" s="126" t="s">
        <v>313</v>
      </c>
      <c r="T34" s="126" t="s">
        <v>313</v>
      </c>
      <c r="U34" s="126" t="s">
        <v>313</v>
      </c>
      <c r="V34" s="126" t="s">
        <v>313</v>
      </c>
      <c r="W34" s="126" t="s">
        <v>313</v>
      </c>
      <c r="X34" s="126" t="s">
        <v>313</v>
      </c>
      <c r="Y34" s="126" t="s">
        <v>313</v>
      </c>
      <c r="Z34" s="126" t="s">
        <v>313</v>
      </c>
      <c r="AA34" s="126" t="s">
        <v>313</v>
      </c>
      <c r="AB34" s="126" t="s">
        <v>313</v>
      </c>
      <c r="AC34" s="126" t="s">
        <v>313</v>
      </c>
      <c r="AD34" s="126" t="s">
        <v>313</v>
      </c>
      <c r="AE34" s="126" t="s">
        <v>313</v>
      </c>
      <c r="AF34" s="126" t="s">
        <v>313</v>
      </c>
      <c r="AG34" s="126" t="s">
        <v>313</v>
      </c>
      <c r="AH34" s="126" t="s">
        <v>313</v>
      </c>
      <c r="AI34" s="126" t="s">
        <v>313</v>
      </c>
      <c r="AJ34" s="126" t="s">
        <v>313</v>
      </c>
      <c r="AK34" s="126" t="s">
        <v>313</v>
      </c>
      <c r="AL34" s="126" t="s">
        <v>313</v>
      </c>
      <c r="AM34" s="126" t="s">
        <v>313</v>
      </c>
      <c r="AN34" s="126" t="s">
        <v>313</v>
      </c>
      <c r="AO34" s="126" t="s">
        <v>313</v>
      </c>
      <c r="AP34" s="126" t="s">
        <v>313</v>
      </c>
    </row>
    <row r="35" spans="1:42" ht="30.75" customHeight="1" x14ac:dyDescent="0.35">
      <c r="A35" s="159"/>
      <c r="B35" s="135" t="s">
        <v>179</v>
      </c>
      <c r="C35" s="125">
        <v>0.4</v>
      </c>
      <c r="D35" s="125">
        <v>0.4</v>
      </c>
      <c r="E35" s="125">
        <v>0.3</v>
      </c>
      <c r="F35" s="125">
        <v>0.4</v>
      </c>
      <c r="G35" s="125">
        <v>0.4</v>
      </c>
      <c r="H35" s="125">
        <v>0.4</v>
      </c>
      <c r="I35" s="137">
        <v>0.25</v>
      </c>
      <c r="J35" s="125">
        <f>80/150</f>
        <v>0.53333333333333333</v>
      </c>
      <c r="K35" s="125">
        <f>65/200</f>
        <v>0.32500000000000001</v>
      </c>
      <c r="L35" s="125">
        <f>45/180</f>
        <v>0.25</v>
      </c>
      <c r="M35" s="125">
        <f>100/200</f>
        <v>0.5</v>
      </c>
      <c r="N35" s="125">
        <f>60/220</f>
        <v>0.27272727272727271</v>
      </c>
      <c r="O35" s="125">
        <f>50/200</f>
        <v>0.25</v>
      </c>
      <c r="P35" s="125">
        <f>250/800</f>
        <v>0.3125</v>
      </c>
      <c r="Q35" s="125">
        <f>60/135</f>
        <v>0.44444444444444442</v>
      </c>
      <c r="R35" s="125">
        <f>20/80</f>
        <v>0.25</v>
      </c>
      <c r="S35" s="125">
        <f>30/150</f>
        <v>0.2</v>
      </c>
      <c r="T35" s="125">
        <f>50/100</f>
        <v>0.5</v>
      </c>
      <c r="U35" s="125">
        <f>40/115</f>
        <v>0.34782608695652173</v>
      </c>
      <c r="V35" s="125">
        <f>50/110</f>
        <v>0.45454545454545453</v>
      </c>
      <c r="W35" s="126">
        <f>20/100</f>
        <v>0.2</v>
      </c>
      <c r="X35" s="126">
        <f>250/600</f>
        <v>0.41666666666666669</v>
      </c>
      <c r="Y35" s="126">
        <f>80/180</f>
        <v>0.44444444444444442</v>
      </c>
      <c r="Z35" s="126">
        <v>0.4</v>
      </c>
      <c r="AA35" s="126">
        <f>50/150</f>
        <v>0.33333333333333331</v>
      </c>
      <c r="AB35" s="126">
        <f>100/375</f>
        <v>0.26666666666666666</v>
      </c>
      <c r="AC35" s="126">
        <f>60/200</f>
        <v>0.3</v>
      </c>
      <c r="AD35" s="126">
        <f>50/150</f>
        <v>0.33333333333333331</v>
      </c>
      <c r="AE35" s="126">
        <f>35/115</f>
        <v>0.30434782608695654</v>
      </c>
      <c r="AF35" s="126">
        <f>60/170</f>
        <v>0.35294117647058826</v>
      </c>
      <c r="AG35" s="126">
        <f>70/200</f>
        <v>0.35</v>
      </c>
      <c r="AH35" s="126">
        <f>60/150</f>
        <v>0.4</v>
      </c>
      <c r="AI35" s="126">
        <f>70/170</f>
        <v>0.41176470588235292</v>
      </c>
      <c r="AJ35" s="126">
        <f>70/200</f>
        <v>0.35</v>
      </c>
      <c r="AK35" s="126">
        <f>70/150</f>
        <v>0.46666666666666667</v>
      </c>
      <c r="AL35" s="126">
        <f>80/200</f>
        <v>0.4</v>
      </c>
      <c r="AM35" s="126">
        <f>60/200</f>
        <v>0.3</v>
      </c>
      <c r="AN35" s="126">
        <f>60/150</f>
        <v>0.4</v>
      </c>
      <c r="AO35" s="126">
        <f>70/200</f>
        <v>0.35</v>
      </c>
      <c r="AP35" s="126">
        <f>80/250</f>
        <v>0.32</v>
      </c>
    </row>
    <row r="36" spans="1:42" ht="30.75" customHeight="1" x14ac:dyDescent="0.35">
      <c r="A36" s="159"/>
      <c r="B36" s="135" t="s">
        <v>180</v>
      </c>
      <c r="C36" s="126" t="s">
        <v>305</v>
      </c>
      <c r="D36" s="125" t="s">
        <v>305</v>
      </c>
      <c r="E36" s="126" t="s">
        <v>313</v>
      </c>
      <c r="F36" s="125" t="s">
        <v>305</v>
      </c>
      <c r="G36" s="126" t="s">
        <v>313</v>
      </c>
      <c r="H36" s="125" t="s">
        <v>305</v>
      </c>
      <c r="I36" s="138" t="s">
        <v>313</v>
      </c>
      <c r="J36" s="125" t="s">
        <v>305</v>
      </c>
      <c r="K36" s="126" t="s">
        <v>313</v>
      </c>
      <c r="L36" s="125" t="s">
        <v>305</v>
      </c>
      <c r="M36" s="126" t="s">
        <v>313</v>
      </c>
      <c r="N36" s="125" t="s">
        <v>305</v>
      </c>
      <c r="O36" s="126" t="s">
        <v>313</v>
      </c>
      <c r="P36" s="125" t="s">
        <v>305</v>
      </c>
      <c r="Q36" s="126" t="s">
        <v>313</v>
      </c>
      <c r="R36" s="125" t="s">
        <v>305</v>
      </c>
      <c r="S36" s="126" t="s">
        <v>313</v>
      </c>
      <c r="T36" s="125" t="s">
        <v>305</v>
      </c>
      <c r="U36" s="126" t="s">
        <v>313</v>
      </c>
      <c r="V36" s="125" t="s">
        <v>305</v>
      </c>
      <c r="W36" s="126" t="s">
        <v>313</v>
      </c>
      <c r="X36" s="126" t="s">
        <v>305</v>
      </c>
      <c r="Y36" s="126" t="s">
        <v>313</v>
      </c>
      <c r="Z36" s="126" t="s">
        <v>305</v>
      </c>
      <c r="AA36" s="126" t="s">
        <v>313</v>
      </c>
      <c r="AB36" s="126" t="s">
        <v>305</v>
      </c>
      <c r="AC36" s="126" t="s">
        <v>313</v>
      </c>
      <c r="AD36" s="126" t="s">
        <v>305</v>
      </c>
      <c r="AE36" s="126" t="s">
        <v>313</v>
      </c>
      <c r="AF36" s="126" t="s">
        <v>305</v>
      </c>
      <c r="AG36" s="126" t="s">
        <v>313</v>
      </c>
      <c r="AH36" s="126" t="s">
        <v>305</v>
      </c>
      <c r="AI36" s="126" t="s">
        <v>313</v>
      </c>
      <c r="AJ36" s="126" t="s">
        <v>305</v>
      </c>
      <c r="AK36" s="126" t="s">
        <v>313</v>
      </c>
      <c r="AL36" s="126" t="s">
        <v>305</v>
      </c>
      <c r="AM36" s="126" t="s">
        <v>313</v>
      </c>
      <c r="AN36" s="126" t="s">
        <v>305</v>
      </c>
      <c r="AO36" s="126" t="s">
        <v>313</v>
      </c>
      <c r="AP36" s="126" t="s">
        <v>305</v>
      </c>
    </row>
    <row r="37" spans="1:42" ht="30.75" customHeight="1" x14ac:dyDescent="0.35">
      <c r="A37" s="159"/>
      <c r="B37" s="135" t="s">
        <v>280</v>
      </c>
      <c r="C37" s="125">
        <v>0.1</v>
      </c>
      <c r="D37" s="125">
        <v>0.1</v>
      </c>
      <c r="E37" s="125">
        <v>0.1</v>
      </c>
      <c r="F37" s="125">
        <v>0.05</v>
      </c>
      <c r="G37" s="125">
        <v>0.05</v>
      </c>
      <c r="H37" s="125">
        <v>0.05</v>
      </c>
      <c r="I37" s="137">
        <v>0.25</v>
      </c>
      <c r="J37" s="125">
        <f>10/150</f>
        <v>6.6666666666666666E-2</v>
      </c>
      <c r="K37" s="125">
        <f>40/200</f>
        <v>0.2</v>
      </c>
      <c r="L37" s="125">
        <f>20/180</f>
        <v>0.1111111111111111</v>
      </c>
      <c r="M37" s="125">
        <f>10/200</f>
        <v>0.05</v>
      </c>
      <c r="N37" s="125">
        <f>40/220</f>
        <v>0.18181818181818182</v>
      </c>
      <c r="O37" s="125">
        <f>10/200</f>
        <v>0.05</v>
      </c>
      <c r="P37" s="125">
        <f>50/800</f>
        <v>6.25E-2</v>
      </c>
      <c r="Q37" s="125">
        <f>10/135</f>
        <v>7.407407407407407E-2</v>
      </c>
      <c r="R37" s="125">
        <f>10/80</f>
        <v>0.125</v>
      </c>
      <c r="S37" s="125">
        <f>35/150</f>
        <v>0.23333333333333334</v>
      </c>
      <c r="T37" s="125">
        <f>10/100</f>
        <v>0.1</v>
      </c>
      <c r="U37" s="125">
        <f>15/115</f>
        <v>0.13043478260869565</v>
      </c>
      <c r="V37" s="125">
        <f>15/110</f>
        <v>0.13636363636363635</v>
      </c>
      <c r="W37" s="126">
        <f>10/100</f>
        <v>0.1</v>
      </c>
      <c r="X37" s="126">
        <f>50/600</f>
        <v>8.3333333333333329E-2</v>
      </c>
      <c r="Y37" s="126">
        <f>15/180</f>
        <v>8.3333333333333329E-2</v>
      </c>
      <c r="Z37" s="126">
        <v>0.1</v>
      </c>
      <c r="AA37" s="126">
        <f>20/150</f>
        <v>0.13333333333333333</v>
      </c>
      <c r="AB37" s="126">
        <f>50/375</f>
        <v>0.13333333333333333</v>
      </c>
      <c r="AC37" s="126">
        <f>30/200</f>
        <v>0.15</v>
      </c>
      <c r="AD37" s="126">
        <f>10/150</f>
        <v>6.6666666666666666E-2</v>
      </c>
      <c r="AE37" s="126">
        <f>10/115</f>
        <v>8.6956521739130432E-2</v>
      </c>
      <c r="AF37" s="126">
        <f>30/170</f>
        <v>0.17647058823529413</v>
      </c>
      <c r="AG37" s="126">
        <f>20/200</f>
        <v>0.1</v>
      </c>
      <c r="AH37" s="126">
        <f>20/150</f>
        <v>0.13333333333333333</v>
      </c>
      <c r="AI37" s="126">
        <f>20/170</f>
        <v>0.11764705882352941</v>
      </c>
      <c r="AJ37" s="126">
        <f>40/200</f>
        <v>0.2</v>
      </c>
      <c r="AK37" s="126">
        <f>10/150</f>
        <v>6.6666666666666666E-2</v>
      </c>
      <c r="AL37" s="126">
        <f>30/200</f>
        <v>0.15</v>
      </c>
      <c r="AM37" s="126">
        <f>50/200</f>
        <v>0.25</v>
      </c>
      <c r="AN37" s="126">
        <f>15/150</f>
        <v>0.1</v>
      </c>
      <c r="AO37" s="126">
        <f>50/200</f>
        <v>0.25</v>
      </c>
      <c r="AP37" s="126">
        <f>40/250</f>
        <v>0.16</v>
      </c>
    </row>
    <row r="38" spans="1:42" ht="30.75" customHeight="1" x14ac:dyDescent="0.35">
      <c r="A38" s="159"/>
      <c r="B38" s="135" t="s">
        <v>281</v>
      </c>
      <c r="C38" s="125">
        <v>0.1</v>
      </c>
      <c r="D38" s="125">
        <v>0.1</v>
      </c>
      <c r="E38" s="125">
        <v>0.1</v>
      </c>
      <c r="F38" s="125">
        <v>0.05</v>
      </c>
      <c r="G38" s="125">
        <v>0.15</v>
      </c>
      <c r="H38" s="125">
        <v>0.05</v>
      </c>
      <c r="I38" s="137">
        <v>0.25</v>
      </c>
      <c r="J38" s="125">
        <f>10/150</f>
        <v>6.6666666666666666E-2</v>
      </c>
      <c r="K38" s="125">
        <f>35/200</f>
        <v>0.17499999999999999</v>
      </c>
      <c r="L38" s="125">
        <f>15/180</f>
        <v>8.3333333333333329E-2</v>
      </c>
      <c r="M38" s="125">
        <f>20/200</f>
        <v>0.1</v>
      </c>
      <c r="N38" s="125">
        <f>20/220</f>
        <v>9.0909090909090912E-2</v>
      </c>
      <c r="O38" s="125">
        <f>40/200</f>
        <v>0.2</v>
      </c>
      <c r="P38" s="125">
        <f>100/800</f>
        <v>0.125</v>
      </c>
      <c r="Q38" s="125">
        <f>5/135</f>
        <v>3.7037037037037035E-2</v>
      </c>
      <c r="R38" s="125">
        <f>10/80</f>
        <v>0.125</v>
      </c>
      <c r="S38" s="125">
        <f>35/150</f>
        <v>0.23333333333333334</v>
      </c>
      <c r="T38" s="125">
        <f>10/100</f>
        <v>0.1</v>
      </c>
      <c r="U38" s="125">
        <f>10/115</f>
        <v>8.6956521739130432E-2</v>
      </c>
      <c r="V38" s="125">
        <f>5/110</f>
        <v>4.5454545454545456E-2</v>
      </c>
      <c r="W38" s="126">
        <f>10/100</f>
        <v>0.1</v>
      </c>
      <c r="X38" s="126">
        <f>50/600</f>
        <v>8.3333333333333329E-2</v>
      </c>
      <c r="Y38" s="126">
        <f>5/180</f>
        <v>2.7777777777777776E-2</v>
      </c>
      <c r="Z38" s="126">
        <v>0.1</v>
      </c>
      <c r="AA38" s="126">
        <f>10/150</f>
        <v>6.6666666666666666E-2</v>
      </c>
      <c r="AB38" s="126">
        <f>25/375</f>
        <v>6.6666666666666666E-2</v>
      </c>
      <c r="AC38" s="126">
        <f>10/200</f>
        <v>0.05</v>
      </c>
      <c r="AD38" s="126">
        <f>40/150</f>
        <v>0.26666666666666666</v>
      </c>
      <c r="AE38" s="126">
        <f>10/115</f>
        <v>8.6956521739130432E-2</v>
      </c>
      <c r="AF38" s="126">
        <f>30/170</f>
        <v>0.17647058823529413</v>
      </c>
      <c r="AG38" s="126">
        <f>50/200</f>
        <v>0.25</v>
      </c>
      <c r="AH38" s="126">
        <f>20/150</f>
        <v>0.13333333333333333</v>
      </c>
      <c r="AI38" s="126">
        <f>40/170</f>
        <v>0.23529411764705882</v>
      </c>
      <c r="AJ38" s="126">
        <f>20/200</f>
        <v>0.1</v>
      </c>
      <c r="AK38" s="126">
        <f>20/150</f>
        <v>0.13333333333333333</v>
      </c>
      <c r="AL38" s="126">
        <f>40/200</f>
        <v>0.2</v>
      </c>
      <c r="AM38" s="126">
        <f>40/200</f>
        <v>0.2</v>
      </c>
      <c r="AN38" s="126">
        <f>25/150</f>
        <v>0.16666666666666666</v>
      </c>
      <c r="AO38" s="126">
        <f>30/200</f>
        <v>0.15</v>
      </c>
      <c r="AP38" s="126">
        <f>50/250</f>
        <v>0.2</v>
      </c>
    </row>
    <row r="39" spans="1:42" ht="30.75" customHeight="1" x14ac:dyDescent="0.35">
      <c r="A39" s="159"/>
      <c r="B39" s="135" t="s">
        <v>282</v>
      </c>
      <c r="C39" s="125" t="s">
        <v>305</v>
      </c>
      <c r="D39" s="125" t="s">
        <v>305</v>
      </c>
      <c r="E39" s="126" t="s">
        <v>313</v>
      </c>
      <c r="F39" s="126" t="s">
        <v>313</v>
      </c>
      <c r="G39" s="126" t="s">
        <v>313</v>
      </c>
      <c r="H39" s="126" t="s">
        <v>313</v>
      </c>
      <c r="I39" s="138" t="s">
        <v>313</v>
      </c>
      <c r="J39" s="126" t="s">
        <v>313</v>
      </c>
      <c r="K39" s="126" t="s">
        <v>313</v>
      </c>
      <c r="L39" s="126" t="s">
        <v>313</v>
      </c>
      <c r="M39" s="126" t="s">
        <v>313</v>
      </c>
      <c r="N39" s="126" t="s">
        <v>313</v>
      </c>
      <c r="O39" s="126" t="s">
        <v>313</v>
      </c>
      <c r="P39" s="126" t="s">
        <v>313</v>
      </c>
      <c r="Q39" s="126" t="s">
        <v>313</v>
      </c>
      <c r="R39" s="126" t="s">
        <v>313</v>
      </c>
      <c r="S39" s="126" t="s">
        <v>313</v>
      </c>
      <c r="T39" s="126" t="s">
        <v>313</v>
      </c>
      <c r="U39" s="126" t="s">
        <v>313</v>
      </c>
      <c r="V39" s="126" t="s">
        <v>313</v>
      </c>
      <c r="W39" s="126" t="s">
        <v>313</v>
      </c>
      <c r="X39" s="126" t="s">
        <v>313</v>
      </c>
      <c r="Y39" s="126" t="s">
        <v>313</v>
      </c>
      <c r="Z39" s="126" t="s">
        <v>313</v>
      </c>
      <c r="AA39" s="126" t="s">
        <v>313</v>
      </c>
      <c r="AB39" s="126" t="s">
        <v>313</v>
      </c>
      <c r="AC39" s="126" t="s">
        <v>313</v>
      </c>
      <c r="AD39" s="126" t="s">
        <v>313</v>
      </c>
      <c r="AE39" s="126" t="s">
        <v>313</v>
      </c>
      <c r="AF39" s="126" t="s">
        <v>313</v>
      </c>
      <c r="AG39" s="126" t="s">
        <v>313</v>
      </c>
      <c r="AH39" s="126" t="s">
        <v>313</v>
      </c>
      <c r="AI39" s="126" t="s">
        <v>313</v>
      </c>
      <c r="AJ39" s="126" t="s">
        <v>313</v>
      </c>
      <c r="AK39" s="126" t="s">
        <v>313</v>
      </c>
      <c r="AL39" s="126" t="s">
        <v>313</v>
      </c>
      <c r="AM39" s="126" t="s">
        <v>313</v>
      </c>
      <c r="AN39" s="126" t="s">
        <v>313</v>
      </c>
      <c r="AO39" s="126" t="s">
        <v>313</v>
      </c>
      <c r="AP39" s="126" t="s">
        <v>313</v>
      </c>
    </row>
    <row r="40" spans="1:42" ht="30.75" customHeight="1" x14ac:dyDescent="0.35">
      <c r="A40" s="159"/>
      <c r="B40" s="135" t="s">
        <v>283</v>
      </c>
      <c r="C40" s="125" t="s">
        <v>305</v>
      </c>
      <c r="D40" s="125" t="s">
        <v>305</v>
      </c>
      <c r="E40" s="126" t="s">
        <v>313</v>
      </c>
      <c r="F40" s="126" t="s">
        <v>313</v>
      </c>
      <c r="G40" s="126" t="s">
        <v>313</v>
      </c>
      <c r="H40" s="126" t="s">
        <v>313</v>
      </c>
      <c r="I40" s="138" t="s">
        <v>313</v>
      </c>
      <c r="J40" s="126" t="s">
        <v>313</v>
      </c>
      <c r="K40" s="126" t="s">
        <v>313</v>
      </c>
      <c r="L40" s="126" t="s">
        <v>313</v>
      </c>
      <c r="M40" s="126" t="s">
        <v>313</v>
      </c>
      <c r="N40" s="126" t="s">
        <v>313</v>
      </c>
      <c r="O40" s="126" t="s">
        <v>313</v>
      </c>
      <c r="P40" s="126" t="s">
        <v>313</v>
      </c>
      <c r="Q40" s="126" t="s">
        <v>313</v>
      </c>
      <c r="R40" s="126" t="s">
        <v>313</v>
      </c>
      <c r="S40" s="126" t="s">
        <v>313</v>
      </c>
      <c r="T40" s="126" t="s">
        <v>313</v>
      </c>
      <c r="U40" s="126" t="s">
        <v>313</v>
      </c>
      <c r="V40" s="126" t="s">
        <v>313</v>
      </c>
      <c r="W40" s="126" t="s">
        <v>313</v>
      </c>
      <c r="X40" s="126" t="s">
        <v>313</v>
      </c>
      <c r="Y40" s="126" t="s">
        <v>313</v>
      </c>
      <c r="Z40" s="126" t="s">
        <v>313</v>
      </c>
      <c r="AA40" s="126" t="s">
        <v>313</v>
      </c>
      <c r="AB40" s="126" t="s">
        <v>313</v>
      </c>
      <c r="AC40" s="126" t="s">
        <v>313</v>
      </c>
      <c r="AD40" s="126" t="s">
        <v>313</v>
      </c>
      <c r="AE40" s="126" t="s">
        <v>313</v>
      </c>
      <c r="AF40" s="126" t="s">
        <v>313</v>
      </c>
      <c r="AG40" s="126" t="s">
        <v>313</v>
      </c>
      <c r="AH40" s="126" t="s">
        <v>313</v>
      </c>
      <c r="AI40" s="126" t="s">
        <v>313</v>
      </c>
      <c r="AJ40" s="126" t="s">
        <v>313</v>
      </c>
      <c r="AK40" s="126" t="s">
        <v>313</v>
      </c>
      <c r="AL40" s="126" t="s">
        <v>313</v>
      </c>
      <c r="AM40" s="126" t="s">
        <v>313</v>
      </c>
      <c r="AN40" s="126" t="s">
        <v>313</v>
      </c>
      <c r="AO40" s="126" t="s">
        <v>313</v>
      </c>
      <c r="AP40" s="126" t="s">
        <v>313</v>
      </c>
    </row>
    <row r="41" spans="1:42" ht="30.75" customHeight="1" x14ac:dyDescent="0.35">
      <c r="A41" s="159"/>
      <c r="B41" s="10" t="s">
        <v>181</v>
      </c>
      <c r="C41" s="122"/>
      <c r="D41" s="122"/>
      <c r="E41" s="122"/>
      <c r="F41" s="122"/>
      <c r="G41" s="143"/>
      <c r="H41" s="122"/>
      <c r="I41" s="122"/>
      <c r="J41" s="122"/>
      <c r="K41" s="122"/>
      <c r="L41" s="122"/>
      <c r="M41" s="122"/>
      <c r="N41" s="122"/>
      <c r="O41" s="122"/>
      <c r="P41" s="122"/>
      <c r="Q41" s="122"/>
      <c r="R41" s="122"/>
      <c r="S41" s="122"/>
      <c r="T41" s="122"/>
      <c r="U41" s="122"/>
      <c r="V41" s="122"/>
      <c r="W41" s="121"/>
      <c r="X41" s="121"/>
      <c r="Y41" s="121"/>
      <c r="Z41" s="121"/>
      <c r="AA41" s="121"/>
      <c r="AB41" s="121"/>
      <c r="AC41" s="121"/>
      <c r="AD41" s="121"/>
      <c r="AE41" s="121"/>
      <c r="AF41" s="121"/>
      <c r="AG41" s="121"/>
      <c r="AH41" s="121"/>
      <c r="AI41" s="121"/>
      <c r="AJ41" s="121"/>
      <c r="AK41" s="121"/>
      <c r="AL41" s="121"/>
      <c r="AM41" s="121"/>
      <c r="AN41" s="121"/>
      <c r="AO41" s="121"/>
      <c r="AP41" s="121"/>
    </row>
    <row r="42" spans="1:42" ht="30.75" customHeight="1" x14ac:dyDescent="0.35">
      <c r="A42" s="159"/>
      <c r="B42" s="135" t="s">
        <v>123</v>
      </c>
      <c r="C42" s="125">
        <v>0.2</v>
      </c>
      <c r="D42" s="137">
        <v>0.17499999999999999</v>
      </c>
      <c r="E42" s="137">
        <v>0.125</v>
      </c>
      <c r="F42" s="137">
        <v>0.15</v>
      </c>
      <c r="G42" s="137">
        <f>3/27</f>
        <v>0.1111111111111111</v>
      </c>
      <c r="H42" s="137">
        <v>0.25</v>
      </c>
      <c r="I42" s="137">
        <f>2.75/25</f>
        <v>0.11</v>
      </c>
      <c r="J42" s="137">
        <f>5/52.3</f>
        <v>9.5602294455066933E-2</v>
      </c>
      <c r="K42" s="137">
        <f>2/45</f>
        <v>4.4444444444444446E-2</v>
      </c>
      <c r="L42" s="138">
        <f>5/38.5</f>
        <v>0.12987012987012986</v>
      </c>
      <c r="M42" s="137">
        <f>6/66.5</f>
        <v>9.0225563909774431E-2</v>
      </c>
      <c r="N42" s="137">
        <f>10/55</f>
        <v>0.18181818181818182</v>
      </c>
      <c r="O42" s="137">
        <f>10/65.2</f>
        <v>0.15337423312883436</v>
      </c>
      <c r="P42" s="137">
        <f>35/217</f>
        <v>0.16129032258064516</v>
      </c>
      <c r="Q42" s="137">
        <f>3/30.5</f>
        <v>9.8360655737704916E-2</v>
      </c>
      <c r="R42" s="137">
        <f>3.5/19.3</f>
        <v>0.18134715025906736</v>
      </c>
      <c r="S42" s="137">
        <f>4.5/34.5</f>
        <v>0.13043478260869565</v>
      </c>
      <c r="T42" s="137">
        <f>3.5/19.3</f>
        <v>0.18134715025906736</v>
      </c>
      <c r="U42" s="137">
        <f>5/37.5</f>
        <v>0.13333333333333333</v>
      </c>
      <c r="V42" s="137">
        <f>3/33.5</f>
        <v>8.9552238805970144E-2</v>
      </c>
      <c r="W42" s="138">
        <f>30/108</f>
        <v>0.27777777777777779</v>
      </c>
      <c r="X42" s="138">
        <f>20/100</f>
        <v>0.2</v>
      </c>
      <c r="Y42" s="138">
        <f>15/90</f>
        <v>0.16666666666666666</v>
      </c>
      <c r="Z42" s="138">
        <f>3.5/40</f>
        <v>8.7499999999999994E-2</v>
      </c>
      <c r="AA42" s="138">
        <f>17/93</f>
        <v>0.18279569892473119</v>
      </c>
      <c r="AB42" s="138">
        <f>13/87</f>
        <v>0.14942528735632185</v>
      </c>
      <c r="AC42" s="138">
        <f>20/98</f>
        <v>0.20408163265306123</v>
      </c>
      <c r="AD42" s="138">
        <f>10/72</f>
        <v>0.1388888888888889</v>
      </c>
      <c r="AE42" s="138">
        <f>13/60</f>
        <v>0.21666666666666667</v>
      </c>
      <c r="AF42" s="138">
        <f>10/89</f>
        <v>0.11235955056179775</v>
      </c>
      <c r="AG42" s="138">
        <f>7/68</f>
        <v>0.10294117647058823</v>
      </c>
      <c r="AH42" s="138">
        <f>8/60</f>
        <v>0.13333333333333333</v>
      </c>
      <c r="AI42" s="138">
        <f>10/59.5</f>
        <v>0.16806722689075632</v>
      </c>
      <c r="AJ42" s="138">
        <f>10/100</f>
        <v>0.1</v>
      </c>
      <c r="AK42" s="138">
        <f>8/52</f>
        <v>0.15384615384615385</v>
      </c>
      <c r="AL42" s="138">
        <f>8/90</f>
        <v>8.8888888888888892E-2</v>
      </c>
      <c r="AM42" s="138">
        <f>10/90</f>
        <v>0.1111111111111111</v>
      </c>
      <c r="AN42" s="138">
        <f>10/59</f>
        <v>0.16949152542372881</v>
      </c>
      <c r="AO42" s="138">
        <f>8/75</f>
        <v>0.10666666666666667</v>
      </c>
      <c r="AP42" s="138">
        <f>20/127</f>
        <v>0.15748031496062992</v>
      </c>
    </row>
    <row r="43" spans="1:42" ht="30.75" customHeight="1" x14ac:dyDescent="0.35">
      <c r="A43" s="159"/>
      <c r="B43" s="135" t="s">
        <v>124</v>
      </c>
      <c r="C43" s="125">
        <v>0.2</v>
      </c>
      <c r="D43" s="137">
        <v>0.17499999999999999</v>
      </c>
      <c r="E43" s="137">
        <v>0.125</v>
      </c>
      <c r="F43" s="137">
        <v>0.15</v>
      </c>
      <c r="G43" s="137">
        <f>4.5/27</f>
        <v>0.16666666666666666</v>
      </c>
      <c r="H43" s="137">
        <v>0.25</v>
      </c>
      <c r="I43" s="138">
        <f>2.75/25</f>
        <v>0.11</v>
      </c>
      <c r="J43" s="138">
        <f>5/52.3</f>
        <v>9.5602294455066933E-2</v>
      </c>
      <c r="K43" s="137">
        <f>2/45</f>
        <v>4.4444444444444446E-2</v>
      </c>
      <c r="L43" s="137">
        <f>5/38.5</f>
        <v>0.12987012987012986</v>
      </c>
      <c r="M43" s="137">
        <f>6/66.5</f>
        <v>9.0225563909774431E-2</v>
      </c>
      <c r="N43" s="137">
        <f>10/55</f>
        <v>0.18181818181818182</v>
      </c>
      <c r="O43" s="137">
        <f>10/65.2</f>
        <v>0.15337423312883436</v>
      </c>
      <c r="P43" s="137">
        <f>35/217</f>
        <v>0.16129032258064516</v>
      </c>
      <c r="Q43" s="137">
        <f>6/30.5</f>
        <v>0.19672131147540983</v>
      </c>
      <c r="R43" s="137">
        <f>3.5/19.3</f>
        <v>0.18134715025906736</v>
      </c>
      <c r="S43" s="137">
        <f>4.5/34.5</f>
        <v>0.13043478260869565</v>
      </c>
      <c r="T43" s="137">
        <f>3.5/19.3</f>
        <v>0.18134715025906736</v>
      </c>
      <c r="U43" s="137">
        <f>5/37.5</f>
        <v>0.13333333333333333</v>
      </c>
      <c r="V43" s="137">
        <f>4/33.5</f>
        <v>0.11940298507462686</v>
      </c>
      <c r="W43" s="138">
        <f>30/108</f>
        <v>0.27777777777777779</v>
      </c>
      <c r="X43" s="138">
        <f>20/100</f>
        <v>0.2</v>
      </c>
      <c r="Y43" s="138">
        <f>15/90</f>
        <v>0.16666666666666666</v>
      </c>
      <c r="Z43" s="138">
        <f>3.5/40</f>
        <v>8.7499999999999994E-2</v>
      </c>
      <c r="AA43" s="138">
        <f>17/93</f>
        <v>0.18279569892473119</v>
      </c>
      <c r="AB43" s="138">
        <f>17/87</f>
        <v>0.19540229885057472</v>
      </c>
      <c r="AC43" s="138">
        <f>41/98</f>
        <v>0.41836734693877553</v>
      </c>
      <c r="AD43" s="138">
        <f>15/72</f>
        <v>0.20833333333333334</v>
      </c>
      <c r="AE43" s="138">
        <f>17/60</f>
        <v>0.28333333333333333</v>
      </c>
      <c r="AF43" s="138">
        <f>15/89</f>
        <v>0.16853932584269662</v>
      </c>
      <c r="AG43" s="138">
        <f>7/68</f>
        <v>0.10294117647058823</v>
      </c>
      <c r="AH43" s="138">
        <f>8/60</f>
        <v>0.13333333333333333</v>
      </c>
      <c r="AI43" s="138">
        <f>10/59.5</f>
        <v>0.16806722689075632</v>
      </c>
      <c r="AJ43" s="138">
        <f>15/100</f>
        <v>0.15</v>
      </c>
      <c r="AK43" s="138">
        <f>10/52</f>
        <v>0.19230769230769232</v>
      </c>
      <c r="AL43" s="138">
        <f>12/90</f>
        <v>0.13333333333333333</v>
      </c>
      <c r="AM43" s="138">
        <f>20/90</f>
        <v>0.22222222222222221</v>
      </c>
      <c r="AN43" s="138">
        <f>10/59</f>
        <v>0.16949152542372881</v>
      </c>
      <c r="AO43" s="138">
        <f>12/75</f>
        <v>0.16</v>
      </c>
      <c r="AP43" s="138">
        <f>20/127</f>
        <v>0.15748031496062992</v>
      </c>
    </row>
    <row r="44" spans="1:42" ht="30.75" customHeight="1" x14ac:dyDescent="0.35">
      <c r="A44" s="159"/>
      <c r="B44" s="135" t="s">
        <v>125</v>
      </c>
      <c r="C44" s="126" t="s">
        <v>305</v>
      </c>
      <c r="D44" s="126" t="s">
        <v>305</v>
      </c>
      <c r="E44" s="138" t="s">
        <v>313</v>
      </c>
      <c r="F44" s="138" t="s">
        <v>313</v>
      </c>
      <c r="G44" s="138" t="s">
        <v>313</v>
      </c>
      <c r="H44" s="138" t="s">
        <v>313</v>
      </c>
      <c r="I44" s="138" t="s">
        <v>313</v>
      </c>
      <c r="J44" s="138" t="s">
        <v>313</v>
      </c>
      <c r="K44" s="138" t="s">
        <v>313</v>
      </c>
      <c r="L44" s="138" t="s">
        <v>313</v>
      </c>
      <c r="M44" s="138" t="s">
        <v>313</v>
      </c>
      <c r="N44" s="138" t="s">
        <v>313</v>
      </c>
      <c r="O44" s="138" t="s">
        <v>313</v>
      </c>
      <c r="P44" s="138" t="s">
        <v>313</v>
      </c>
      <c r="Q44" s="138" t="s">
        <v>313</v>
      </c>
      <c r="R44" s="138" t="s">
        <v>313</v>
      </c>
      <c r="S44" s="138" t="s">
        <v>313</v>
      </c>
      <c r="T44" s="138" t="s">
        <v>313</v>
      </c>
      <c r="U44" s="138" t="s">
        <v>313</v>
      </c>
      <c r="V44" s="138" t="s">
        <v>313</v>
      </c>
      <c r="W44" s="138" t="s">
        <v>313</v>
      </c>
      <c r="X44" s="138" t="s">
        <v>313</v>
      </c>
      <c r="Y44" s="138" t="s">
        <v>313</v>
      </c>
      <c r="Z44" s="138" t="s">
        <v>313</v>
      </c>
      <c r="AA44" s="138" t="s">
        <v>313</v>
      </c>
      <c r="AB44" s="138" t="s">
        <v>313</v>
      </c>
      <c r="AC44" s="138" t="s">
        <v>313</v>
      </c>
      <c r="AD44" s="138" t="s">
        <v>313</v>
      </c>
      <c r="AE44" s="138" t="s">
        <v>313</v>
      </c>
      <c r="AF44" s="138" t="s">
        <v>313</v>
      </c>
      <c r="AG44" s="138" t="s">
        <v>313</v>
      </c>
      <c r="AH44" s="138" t="s">
        <v>313</v>
      </c>
      <c r="AI44" s="138" t="s">
        <v>313</v>
      </c>
      <c r="AJ44" s="138" t="s">
        <v>313</v>
      </c>
      <c r="AK44" s="138" t="s">
        <v>313</v>
      </c>
      <c r="AL44" s="138" t="s">
        <v>313</v>
      </c>
      <c r="AM44" s="138" t="s">
        <v>313</v>
      </c>
      <c r="AN44" s="138" t="s">
        <v>313</v>
      </c>
      <c r="AO44" s="138" t="s">
        <v>313</v>
      </c>
      <c r="AP44" s="138" t="s">
        <v>313</v>
      </c>
    </row>
    <row r="45" spans="1:42" ht="30.75" customHeight="1" x14ac:dyDescent="0.35">
      <c r="A45" s="159"/>
      <c r="B45" s="135" t="s">
        <v>126</v>
      </c>
      <c r="C45" s="125">
        <v>0.5</v>
      </c>
      <c r="D45" s="137">
        <v>0.5</v>
      </c>
      <c r="E45" s="137">
        <v>0.625</v>
      </c>
      <c r="F45" s="137">
        <v>0.5</v>
      </c>
      <c r="G45" s="137">
        <f>17.5/27</f>
        <v>0.64814814814814814</v>
      </c>
      <c r="H45" s="137">
        <v>0.4</v>
      </c>
      <c r="I45" s="137">
        <f>15/25</f>
        <v>0.6</v>
      </c>
      <c r="J45" s="137">
        <f>40/52.3</f>
        <v>0.76481835564053546</v>
      </c>
      <c r="K45" s="137">
        <f>35/45</f>
        <v>0.77777777777777779</v>
      </c>
      <c r="L45" s="137">
        <f>25/38.5</f>
        <v>0.64935064935064934</v>
      </c>
      <c r="M45" s="137">
        <f>50/66.5</f>
        <v>0.75187969924812026</v>
      </c>
      <c r="N45" s="137">
        <f>30/55</f>
        <v>0.54545454545454541</v>
      </c>
      <c r="O45" s="137">
        <f>40/65.2</f>
        <v>0.61349693251533743</v>
      </c>
      <c r="P45" s="137">
        <f>120/217</f>
        <v>0.55299539170506917</v>
      </c>
      <c r="Q45" s="137">
        <f>20/30.5</f>
        <v>0.65573770491803274</v>
      </c>
      <c r="R45" s="137">
        <f>10/19.3</f>
        <v>0.51813471502590669</v>
      </c>
      <c r="S45" s="137">
        <f>20/34.5</f>
        <v>0.57971014492753625</v>
      </c>
      <c r="T45" s="137">
        <f>10/19.3</f>
        <v>0.51813471502590669</v>
      </c>
      <c r="U45" s="137">
        <f>25/37.5</f>
        <v>0.66666666666666663</v>
      </c>
      <c r="V45" s="137">
        <f>25/33.5</f>
        <v>0.74626865671641796</v>
      </c>
      <c r="W45" s="138">
        <f>40/108</f>
        <v>0.37037037037037035</v>
      </c>
      <c r="X45" s="138">
        <f>50/100</f>
        <v>0.5</v>
      </c>
      <c r="Y45" s="138">
        <f>50/90</f>
        <v>0.55555555555555558</v>
      </c>
      <c r="Z45" s="138">
        <f>30/40</f>
        <v>0.75</v>
      </c>
      <c r="AA45" s="138">
        <f>50/93</f>
        <v>0.5376344086021505</v>
      </c>
      <c r="AB45" s="138">
        <f>50/87</f>
        <v>0.57471264367816088</v>
      </c>
      <c r="AC45" s="138">
        <f>30/98</f>
        <v>0.30612244897959184</v>
      </c>
      <c r="AD45" s="138">
        <f>40/72</f>
        <v>0.55555555555555558</v>
      </c>
      <c r="AE45" s="138">
        <f>27/60</f>
        <v>0.45</v>
      </c>
      <c r="AF45" s="138">
        <f>50/89</f>
        <v>0.5617977528089888</v>
      </c>
      <c r="AG45" s="138">
        <f>30/68</f>
        <v>0.44117647058823528</v>
      </c>
      <c r="AH45" s="138">
        <f>30/60</f>
        <v>0.5</v>
      </c>
      <c r="AI45" s="138">
        <f>30/59.5</f>
        <v>0.50420168067226889</v>
      </c>
      <c r="AJ45" s="138">
        <f>60/100</f>
        <v>0.6</v>
      </c>
      <c r="AK45" s="138">
        <f>30/52</f>
        <v>0.57692307692307687</v>
      </c>
      <c r="AL45" s="138">
        <f>50/90</f>
        <v>0.55555555555555558</v>
      </c>
      <c r="AM45" s="138">
        <f>40/90</f>
        <v>0.44444444444444442</v>
      </c>
      <c r="AN45" s="138">
        <f>30/59</f>
        <v>0.50847457627118642</v>
      </c>
      <c r="AO45" s="138">
        <f>40/75</f>
        <v>0.53333333333333333</v>
      </c>
      <c r="AP45" s="138">
        <f>70/127</f>
        <v>0.55118110236220474</v>
      </c>
    </row>
    <row r="46" spans="1:42" ht="30.75" customHeight="1" x14ac:dyDescent="0.35">
      <c r="A46" s="159"/>
      <c r="B46" s="135" t="s">
        <v>127</v>
      </c>
      <c r="C46" s="126" t="s">
        <v>305</v>
      </c>
      <c r="D46" s="126" t="s">
        <v>305</v>
      </c>
      <c r="E46" s="138" t="s">
        <v>313</v>
      </c>
      <c r="F46" s="138" t="s">
        <v>313</v>
      </c>
      <c r="G46" s="138" t="s">
        <v>313</v>
      </c>
      <c r="H46" s="138" t="s">
        <v>313</v>
      </c>
      <c r="I46" s="138" t="s">
        <v>313</v>
      </c>
      <c r="J46" s="138" t="s">
        <v>313</v>
      </c>
      <c r="K46" s="138" t="s">
        <v>313</v>
      </c>
      <c r="L46" s="138" t="s">
        <v>313</v>
      </c>
      <c r="M46" s="138" t="s">
        <v>313</v>
      </c>
      <c r="N46" s="138" t="s">
        <v>313</v>
      </c>
      <c r="O46" s="138" t="s">
        <v>313</v>
      </c>
      <c r="P46" s="138" t="s">
        <v>313</v>
      </c>
      <c r="Q46" s="138" t="s">
        <v>313</v>
      </c>
      <c r="R46" s="138" t="s">
        <v>313</v>
      </c>
      <c r="S46" s="138" t="s">
        <v>313</v>
      </c>
      <c r="T46" s="138" t="s">
        <v>313</v>
      </c>
      <c r="U46" s="138" t="s">
        <v>313</v>
      </c>
      <c r="V46" s="138" t="s">
        <v>313</v>
      </c>
      <c r="W46" s="138" t="s">
        <v>313</v>
      </c>
      <c r="X46" s="138" t="s">
        <v>313</v>
      </c>
      <c r="Y46" s="138" t="s">
        <v>313</v>
      </c>
      <c r="Z46" s="138" t="s">
        <v>313</v>
      </c>
      <c r="AA46" s="138" t="s">
        <v>313</v>
      </c>
      <c r="AB46" s="138" t="s">
        <v>313</v>
      </c>
      <c r="AC46" s="138" t="s">
        <v>313</v>
      </c>
      <c r="AD46" s="138" t="s">
        <v>313</v>
      </c>
      <c r="AE46" s="138" t="s">
        <v>313</v>
      </c>
      <c r="AF46" s="138" t="s">
        <v>313</v>
      </c>
      <c r="AG46" s="138" t="s">
        <v>313</v>
      </c>
      <c r="AH46" s="138" t="s">
        <v>313</v>
      </c>
      <c r="AI46" s="138" t="s">
        <v>313</v>
      </c>
      <c r="AJ46" s="138" t="s">
        <v>313</v>
      </c>
      <c r="AK46" s="138" t="s">
        <v>313</v>
      </c>
      <c r="AL46" s="138" t="s">
        <v>313</v>
      </c>
      <c r="AM46" s="138" t="s">
        <v>313</v>
      </c>
      <c r="AN46" s="138" t="s">
        <v>313</v>
      </c>
      <c r="AO46" s="138" t="s">
        <v>313</v>
      </c>
      <c r="AP46" s="138" t="s">
        <v>313</v>
      </c>
    </row>
    <row r="47" spans="1:42" ht="30.75" customHeight="1" x14ac:dyDescent="0.35">
      <c r="A47" s="159"/>
      <c r="B47" s="135" t="s">
        <v>284</v>
      </c>
      <c r="C47" s="125">
        <v>0.02</v>
      </c>
      <c r="D47" s="137">
        <v>0.03</v>
      </c>
      <c r="E47" s="137">
        <v>2.5000000000000001E-2</v>
      </c>
      <c r="F47" s="137">
        <v>0.05</v>
      </c>
      <c r="G47" s="137">
        <f>0.5/27</f>
        <v>1.8518518518518517E-2</v>
      </c>
      <c r="H47" s="137">
        <v>0.02</v>
      </c>
      <c r="I47" s="137">
        <f>0.5/25</f>
        <v>0.02</v>
      </c>
      <c r="J47" s="138">
        <f>0.3/52.3</f>
        <v>5.7361376673040155E-3</v>
      </c>
      <c r="K47" s="137">
        <f>1/45</f>
        <v>2.2222222222222223E-2</v>
      </c>
      <c r="L47" s="137">
        <f>0.5/38.5</f>
        <v>1.2987012987012988E-2</v>
      </c>
      <c r="M47" s="137">
        <f>0.5/66.5</f>
        <v>7.5187969924812026E-3</v>
      </c>
      <c r="N47" s="137">
        <f>1/55</f>
        <v>1.8181818181818181E-2</v>
      </c>
      <c r="O47" s="137">
        <f>0.2/65.2</f>
        <v>3.0674846625766872E-3</v>
      </c>
      <c r="P47" s="137">
        <f>2/217</f>
        <v>9.2165898617511521E-3</v>
      </c>
      <c r="Q47" s="137">
        <f>0.5/30.5</f>
        <v>1.6393442622950821E-2</v>
      </c>
      <c r="R47" s="137">
        <f>0.3/19.3</f>
        <v>1.5544041450777202E-2</v>
      </c>
      <c r="S47" s="137">
        <f>1/34.5</f>
        <v>2.8985507246376812E-2</v>
      </c>
      <c r="T47" s="137">
        <f>0.3/19.3</f>
        <v>1.5544041450777202E-2</v>
      </c>
      <c r="U47" s="137">
        <f>0.5/37.5</f>
        <v>1.3333333333333334E-2</v>
      </c>
      <c r="V47" s="137">
        <f>0.5/33.5</f>
        <v>1.4925373134328358E-2</v>
      </c>
      <c r="W47" s="138">
        <f>3/108</f>
        <v>2.7777777777777776E-2</v>
      </c>
      <c r="X47" s="138">
        <f>2/100</f>
        <v>0.02</v>
      </c>
      <c r="Y47" s="138">
        <f>5/90</f>
        <v>5.5555555555555552E-2</v>
      </c>
      <c r="Z47" s="138">
        <f>0.5/40</f>
        <v>1.2500000000000001E-2</v>
      </c>
      <c r="AA47" s="138">
        <f>4/93</f>
        <v>4.3010752688172046E-2</v>
      </c>
      <c r="AB47" s="138">
        <f>2/87</f>
        <v>2.2988505747126436E-2</v>
      </c>
      <c r="AC47" s="138">
        <f>3/98</f>
        <v>3.0612244897959183E-2</v>
      </c>
      <c r="AD47" s="138">
        <f>2/72</f>
        <v>2.7777777777777776E-2</v>
      </c>
      <c r="AE47" s="138">
        <f>1/60</f>
        <v>1.6666666666666666E-2</v>
      </c>
      <c r="AF47" s="138">
        <f>4/89</f>
        <v>4.49438202247191E-2</v>
      </c>
      <c r="AG47" s="138">
        <f>4/68</f>
        <v>5.8823529411764705E-2</v>
      </c>
      <c r="AH47" s="138">
        <f>4/60</f>
        <v>6.6666666666666666E-2</v>
      </c>
      <c r="AI47" s="138">
        <f>2.5/59.5</f>
        <v>4.2016806722689079E-2</v>
      </c>
      <c r="AJ47" s="138">
        <f>5/100</f>
        <v>0.05</v>
      </c>
      <c r="AK47" s="138">
        <f>1/52</f>
        <v>1.9230769230769232E-2</v>
      </c>
      <c r="AL47" s="138">
        <f>5/90</f>
        <v>5.5555555555555552E-2</v>
      </c>
      <c r="AM47" s="138">
        <f>10/90</f>
        <v>0.1111111111111111</v>
      </c>
      <c r="AN47" s="138">
        <f>2/59</f>
        <v>3.3898305084745763E-2</v>
      </c>
      <c r="AO47" s="138">
        <f>5/75</f>
        <v>6.6666666666666666E-2</v>
      </c>
      <c r="AP47" s="138">
        <f>7/127</f>
        <v>5.5118110236220472E-2</v>
      </c>
    </row>
    <row r="48" spans="1:42" ht="30.75" customHeight="1" x14ac:dyDescent="0.35">
      <c r="A48" s="159"/>
      <c r="B48" s="135" t="s">
        <v>285</v>
      </c>
      <c r="C48" s="125">
        <v>0.08</v>
      </c>
      <c r="D48" s="137">
        <v>0.12</v>
      </c>
      <c r="E48" s="137">
        <v>0.1</v>
      </c>
      <c r="F48" s="137">
        <v>0.15</v>
      </c>
      <c r="G48" s="137">
        <f>1.5/27</f>
        <v>5.5555555555555552E-2</v>
      </c>
      <c r="H48" s="137">
        <v>0.08</v>
      </c>
      <c r="I48" s="137">
        <f>4/25</f>
        <v>0.16</v>
      </c>
      <c r="J48" s="137">
        <f>2/52.3</f>
        <v>3.8240917782026769E-2</v>
      </c>
      <c r="K48" s="137">
        <f>5/45</f>
        <v>0.1111111111111111</v>
      </c>
      <c r="L48" s="137">
        <f>3/38.5</f>
        <v>7.792207792207792E-2</v>
      </c>
      <c r="M48" s="137">
        <f>4/66.5</f>
        <v>6.0150375939849621E-2</v>
      </c>
      <c r="N48" s="137">
        <f>4/55</f>
        <v>7.2727272727272724E-2</v>
      </c>
      <c r="O48" s="138">
        <f>5/65.2</f>
        <v>7.6687116564417179E-2</v>
      </c>
      <c r="P48" s="137">
        <f>25/217</f>
        <v>0.1152073732718894</v>
      </c>
      <c r="Q48" s="138">
        <f>1/30.5</f>
        <v>3.2786885245901641E-2</v>
      </c>
      <c r="R48" s="137">
        <f>2/19.3</f>
        <v>0.10362694300518134</v>
      </c>
      <c r="S48" s="137">
        <f>4.5/34.5</f>
        <v>0.13043478260869565</v>
      </c>
      <c r="T48" s="137">
        <f>2/19.3</f>
        <v>0.10362694300518134</v>
      </c>
      <c r="U48" s="137">
        <f>2/37.5</f>
        <v>5.3333333333333337E-2</v>
      </c>
      <c r="V48" s="137">
        <f>1/33.5</f>
        <v>2.9850746268656716E-2</v>
      </c>
      <c r="W48" s="138">
        <f>5/108</f>
        <v>4.6296296296296294E-2</v>
      </c>
      <c r="X48" s="138">
        <f>8/100</f>
        <v>0.08</v>
      </c>
      <c r="Y48" s="138">
        <f>5/90</f>
        <v>5.5555555555555552E-2</v>
      </c>
      <c r="Z48" s="138">
        <f>2.5/40</f>
        <v>6.25E-2</v>
      </c>
      <c r="AA48" s="138">
        <f>5/93</f>
        <v>5.3763440860215055E-2</v>
      </c>
      <c r="AB48" s="138">
        <f>5/87</f>
        <v>5.7471264367816091E-2</v>
      </c>
      <c r="AC48" s="138">
        <f>4/98</f>
        <v>4.0816326530612242E-2</v>
      </c>
      <c r="AD48" s="138">
        <f>5/72</f>
        <v>6.9444444444444448E-2</v>
      </c>
      <c r="AE48" s="138">
        <f>2/60</f>
        <v>3.3333333333333333E-2</v>
      </c>
      <c r="AF48" s="138">
        <f>10/89</f>
        <v>0.11235955056179775</v>
      </c>
      <c r="AG48" s="138">
        <f>20/68</f>
        <v>0.29411764705882354</v>
      </c>
      <c r="AH48" s="138">
        <f>10/60</f>
        <v>0.16666666666666666</v>
      </c>
      <c r="AI48" s="138">
        <f>7/59.5</f>
        <v>0.11764705882352941</v>
      </c>
      <c r="AJ48" s="138">
        <f>10/100</f>
        <v>0.1</v>
      </c>
      <c r="AK48" s="138">
        <f>3/52</f>
        <v>5.7692307692307696E-2</v>
      </c>
      <c r="AL48" s="138">
        <f>15/90</f>
        <v>0.16666666666666666</v>
      </c>
      <c r="AM48" s="138">
        <f>10/90</f>
        <v>0.1111111111111111</v>
      </c>
      <c r="AN48" s="138">
        <f>7/59</f>
        <v>0.11864406779661017</v>
      </c>
      <c r="AO48" s="138">
        <f>10/75</f>
        <v>0.13333333333333333</v>
      </c>
      <c r="AP48" s="138">
        <f>10/127</f>
        <v>7.874015748031496E-2</v>
      </c>
    </row>
    <row r="49" spans="1:42" ht="30.75" customHeight="1" x14ac:dyDescent="0.35">
      <c r="A49" s="159"/>
      <c r="B49" s="135" t="s">
        <v>286</v>
      </c>
      <c r="C49" s="126" t="s">
        <v>305</v>
      </c>
      <c r="D49" s="126" t="s">
        <v>305</v>
      </c>
      <c r="E49" s="138" t="s">
        <v>313</v>
      </c>
      <c r="F49" s="138" t="s">
        <v>313</v>
      </c>
      <c r="G49" s="138" t="s">
        <v>313</v>
      </c>
      <c r="H49" s="138" t="s">
        <v>313</v>
      </c>
      <c r="I49" s="138" t="s">
        <v>313</v>
      </c>
      <c r="J49" s="138" t="s">
        <v>313</v>
      </c>
      <c r="K49" s="138" t="s">
        <v>313</v>
      </c>
      <c r="L49" s="138" t="s">
        <v>313</v>
      </c>
      <c r="M49" s="138" t="s">
        <v>313</v>
      </c>
      <c r="N49" s="138" t="s">
        <v>313</v>
      </c>
      <c r="O49" s="138" t="s">
        <v>313</v>
      </c>
      <c r="P49" s="138" t="s">
        <v>313</v>
      </c>
      <c r="Q49" s="138" t="s">
        <v>313</v>
      </c>
      <c r="R49" s="138" t="s">
        <v>313</v>
      </c>
      <c r="S49" s="138" t="s">
        <v>313</v>
      </c>
      <c r="T49" s="138" t="s">
        <v>313</v>
      </c>
      <c r="U49" s="138" t="s">
        <v>313</v>
      </c>
      <c r="V49" s="138" t="s">
        <v>313</v>
      </c>
      <c r="W49" s="138" t="s">
        <v>313</v>
      </c>
      <c r="X49" s="138" t="s">
        <v>313</v>
      </c>
      <c r="Y49" s="138" t="s">
        <v>313</v>
      </c>
      <c r="Z49" s="138" t="s">
        <v>313</v>
      </c>
      <c r="AA49" s="138" t="s">
        <v>313</v>
      </c>
      <c r="AB49" s="138" t="s">
        <v>313</v>
      </c>
      <c r="AC49" s="138" t="s">
        <v>313</v>
      </c>
      <c r="AD49" s="138" t="s">
        <v>313</v>
      </c>
      <c r="AE49" s="138" t="s">
        <v>313</v>
      </c>
      <c r="AF49" s="138" t="s">
        <v>313</v>
      </c>
      <c r="AG49" s="138" t="s">
        <v>313</v>
      </c>
      <c r="AH49" s="138" t="s">
        <v>313</v>
      </c>
      <c r="AI49" s="138" t="s">
        <v>313</v>
      </c>
      <c r="AJ49" s="138" t="s">
        <v>313</v>
      </c>
      <c r="AK49" s="138" t="s">
        <v>313</v>
      </c>
      <c r="AL49" s="138" t="s">
        <v>313</v>
      </c>
      <c r="AM49" s="138" t="s">
        <v>313</v>
      </c>
      <c r="AN49" s="138" t="s">
        <v>313</v>
      </c>
      <c r="AO49" s="138" t="s">
        <v>313</v>
      </c>
      <c r="AP49" s="138" t="s">
        <v>313</v>
      </c>
    </row>
    <row r="50" spans="1:42" ht="30.75" customHeight="1" x14ac:dyDescent="0.35">
      <c r="A50" s="159"/>
      <c r="B50" s="135" t="s">
        <v>287</v>
      </c>
      <c r="C50" s="126" t="s">
        <v>305</v>
      </c>
      <c r="D50" s="126" t="s">
        <v>305</v>
      </c>
      <c r="E50" s="138" t="s">
        <v>313</v>
      </c>
      <c r="F50" s="138" t="s">
        <v>313</v>
      </c>
      <c r="G50" s="138" t="s">
        <v>313</v>
      </c>
      <c r="H50" s="138" t="s">
        <v>313</v>
      </c>
      <c r="I50" s="138" t="s">
        <v>313</v>
      </c>
      <c r="J50" s="138" t="s">
        <v>313</v>
      </c>
      <c r="K50" s="138" t="s">
        <v>313</v>
      </c>
      <c r="L50" s="138" t="s">
        <v>313</v>
      </c>
      <c r="M50" s="138" t="s">
        <v>313</v>
      </c>
      <c r="N50" s="138" t="s">
        <v>313</v>
      </c>
      <c r="O50" s="138" t="s">
        <v>313</v>
      </c>
      <c r="P50" s="138" t="s">
        <v>313</v>
      </c>
      <c r="Q50" s="138" t="s">
        <v>313</v>
      </c>
      <c r="R50" s="138" t="s">
        <v>313</v>
      </c>
      <c r="S50" s="138" t="s">
        <v>313</v>
      </c>
      <c r="T50" s="138" t="s">
        <v>313</v>
      </c>
      <c r="U50" s="138" t="s">
        <v>313</v>
      </c>
      <c r="V50" s="138" t="s">
        <v>313</v>
      </c>
      <c r="W50" s="138" t="s">
        <v>313</v>
      </c>
      <c r="X50" s="138" t="s">
        <v>313</v>
      </c>
      <c r="Y50" s="138" t="s">
        <v>313</v>
      </c>
      <c r="Z50" s="138" t="s">
        <v>313</v>
      </c>
      <c r="AA50" s="138" t="s">
        <v>313</v>
      </c>
      <c r="AB50" s="138" t="s">
        <v>313</v>
      </c>
      <c r="AC50" s="138" t="s">
        <v>313</v>
      </c>
      <c r="AD50" s="138" t="s">
        <v>313</v>
      </c>
      <c r="AE50" s="138" t="s">
        <v>313</v>
      </c>
      <c r="AF50" s="138" t="s">
        <v>313</v>
      </c>
      <c r="AG50" s="138" t="s">
        <v>313</v>
      </c>
      <c r="AH50" s="138" t="s">
        <v>313</v>
      </c>
      <c r="AI50" s="138" t="s">
        <v>313</v>
      </c>
      <c r="AJ50" s="138" t="s">
        <v>313</v>
      </c>
      <c r="AK50" s="138" t="s">
        <v>313</v>
      </c>
      <c r="AL50" s="138" t="s">
        <v>313</v>
      </c>
      <c r="AM50" s="138" t="s">
        <v>313</v>
      </c>
      <c r="AN50" s="138" t="s">
        <v>313</v>
      </c>
      <c r="AO50" s="138" t="s">
        <v>313</v>
      </c>
      <c r="AP50" s="138" t="s">
        <v>313</v>
      </c>
    </row>
    <row r="51" spans="1:42" ht="150" x14ac:dyDescent="0.35">
      <c r="A51" s="159"/>
      <c r="B51" s="10" t="s">
        <v>182</v>
      </c>
      <c r="C51" s="133" t="s">
        <v>528</v>
      </c>
      <c r="D51" s="133" t="s">
        <v>529</v>
      </c>
      <c r="E51" s="133" t="s">
        <v>530</v>
      </c>
      <c r="F51" s="133" t="s">
        <v>320</v>
      </c>
      <c r="G51" s="133" t="s">
        <v>531</v>
      </c>
      <c r="H51" s="133" t="s">
        <v>532</v>
      </c>
      <c r="I51" s="133" t="s">
        <v>533</v>
      </c>
      <c r="J51" s="133" t="s">
        <v>534</v>
      </c>
      <c r="K51" s="133" t="s">
        <v>357</v>
      </c>
      <c r="L51" s="133" t="s">
        <v>535</v>
      </c>
      <c r="M51" s="133" t="s">
        <v>339</v>
      </c>
      <c r="N51" s="133" t="s">
        <v>340</v>
      </c>
      <c r="O51" s="133" t="s">
        <v>536</v>
      </c>
      <c r="P51" s="133" t="s">
        <v>537</v>
      </c>
      <c r="Q51" s="133" t="s">
        <v>341</v>
      </c>
      <c r="R51" s="133" t="s">
        <v>342</v>
      </c>
      <c r="S51" s="133" t="s">
        <v>538</v>
      </c>
      <c r="T51" s="133" t="s">
        <v>539</v>
      </c>
      <c r="U51" s="133" t="s">
        <v>540</v>
      </c>
      <c r="V51" s="133" t="s">
        <v>358</v>
      </c>
      <c r="W51" s="133" t="s">
        <v>386</v>
      </c>
      <c r="X51" s="133" t="s">
        <v>387</v>
      </c>
      <c r="Y51" s="133" t="s">
        <v>541</v>
      </c>
      <c r="Z51" s="133" t="s">
        <v>388</v>
      </c>
      <c r="AA51" s="133" t="s">
        <v>389</v>
      </c>
      <c r="AB51" s="133" t="s">
        <v>390</v>
      </c>
      <c r="AC51" s="133" t="s">
        <v>391</v>
      </c>
      <c r="AD51" s="133" t="s">
        <v>392</v>
      </c>
      <c r="AE51" s="133" t="s">
        <v>393</v>
      </c>
      <c r="AF51" s="133" t="s">
        <v>394</v>
      </c>
      <c r="AG51" s="133" t="s">
        <v>395</v>
      </c>
      <c r="AH51" s="133" t="s">
        <v>396</v>
      </c>
      <c r="AI51" s="133" t="s">
        <v>397</v>
      </c>
      <c r="AJ51" s="133" t="s">
        <v>398</v>
      </c>
      <c r="AK51" s="133" t="s">
        <v>399</v>
      </c>
      <c r="AL51" s="133" t="s">
        <v>400</v>
      </c>
      <c r="AM51" s="133" t="s">
        <v>542</v>
      </c>
      <c r="AN51" s="133" t="s">
        <v>543</v>
      </c>
      <c r="AO51" s="133" t="s">
        <v>401</v>
      </c>
      <c r="AP51" s="133" t="s">
        <v>402</v>
      </c>
    </row>
    <row r="52" spans="1:42" x14ac:dyDescent="0.35">
      <c r="A52" s="4"/>
      <c r="W52" s="134"/>
      <c r="X52" s="134"/>
      <c r="Y52" s="134"/>
      <c r="Z52" s="134"/>
      <c r="AA52" s="134"/>
      <c r="AB52" s="134"/>
      <c r="AC52" s="134"/>
      <c r="AD52" s="134"/>
      <c r="AE52" s="134"/>
      <c r="AF52" s="134"/>
      <c r="AG52" s="134"/>
      <c r="AH52" s="134"/>
      <c r="AI52" s="134"/>
      <c r="AJ52" s="134"/>
      <c r="AK52" s="134"/>
      <c r="AL52" s="134"/>
      <c r="AM52" s="134"/>
      <c r="AN52" s="134"/>
      <c r="AO52" s="134"/>
      <c r="AP52" s="134"/>
    </row>
    <row r="53" spans="1:42" ht="42" customHeight="1" x14ac:dyDescent="0.35">
      <c r="A53" s="159" t="s">
        <v>45</v>
      </c>
      <c r="B53" s="17" t="s">
        <v>183</v>
      </c>
      <c r="C53" s="121" t="s">
        <v>310</v>
      </c>
      <c r="D53" s="121" t="s">
        <v>307</v>
      </c>
      <c r="E53" s="121" t="s">
        <v>310</v>
      </c>
      <c r="F53" s="121" t="s">
        <v>310</v>
      </c>
      <c r="G53" s="121" t="s">
        <v>310</v>
      </c>
      <c r="H53" s="121" t="s">
        <v>307</v>
      </c>
      <c r="I53" s="121" t="s">
        <v>310</v>
      </c>
      <c r="J53" s="121" t="s">
        <v>310</v>
      </c>
      <c r="K53" s="121" t="s">
        <v>310</v>
      </c>
      <c r="L53" s="121" t="s">
        <v>310</v>
      </c>
      <c r="M53" s="121" t="s">
        <v>310</v>
      </c>
      <c r="N53" s="121" t="s">
        <v>310</v>
      </c>
      <c r="O53" s="121" t="s">
        <v>310</v>
      </c>
      <c r="P53" s="121" t="s">
        <v>310</v>
      </c>
      <c r="Q53" s="121" t="s">
        <v>310</v>
      </c>
      <c r="R53" s="121" t="s">
        <v>310</v>
      </c>
      <c r="S53" s="121" t="s">
        <v>310</v>
      </c>
      <c r="T53" s="121" t="s">
        <v>310</v>
      </c>
      <c r="U53" s="121" t="s">
        <v>310</v>
      </c>
      <c r="V53" s="121" t="s">
        <v>310</v>
      </c>
      <c r="W53" s="121" t="s">
        <v>310</v>
      </c>
      <c r="X53" s="121" t="s">
        <v>307</v>
      </c>
      <c r="Y53" s="121" t="s">
        <v>307</v>
      </c>
      <c r="Z53" s="121" t="s">
        <v>307</v>
      </c>
      <c r="AA53" s="121" t="s">
        <v>307</v>
      </c>
      <c r="AB53" s="121" t="s">
        <v>307</v>
      </c>
      <c r="AC53" s="121" t="s">
        <v>307</v>
      </c>
      <c r="AD53" s="121" t="s">
        <v>310</v>
      </c>
      <c r="AE53" s="121" t="s">
        <v>307</v>
      </c>
      <c r="AF53" s="121" t="s">
        <v>307</v>
      </c>
      <c r="AG53" s="121" t="s">
        <v>307</v>
      </c>
      <c r="AH53" s="121" t="s">
        <v>307</v>
      </c>
      <c r="AI53" s="121" t="s">
        <v>307</v>
      </c>
      <c r="AJ53" s="121" t="s">
        <v>307</v>
      </c>
      <c r="AK53" s="121" t="s">
        <v>307</v>
      </c>
      <c r="AL53" s="121" t="s">
        <v>310</v>
      </c>
      <c r="AM53" s="121" t="s">
        <v>307</v>
      </c>
      <c r="AN53" s="121" t="s">
        <v>310</v>
      </c>
      <c r="AO53" s="121" t="s">
        <v>310</v>
      </c>
      <c r="AP53" s="121" t="s">
        <v>310</v>
      </c>
    </row>
    <row r="54" spans="1:42" ht="42" customHeight="1" x14ac:dyDescent="0.35">
      <c r="A54" s="159"/>
      <c r="B54" s="17" t="s">
        <v>184</v>
      </c>
      <c r="C54" s="124">
        <f>1500000+200000+750000</f>
        <v>2450000</v>
      </c>
      <c r="D54" s="124">
        <v>900000</v>
      </c>
      <c r="E54" s="139">
        <v>500000</v>
      </c>
      <c r="F54" s="124">
        <v>3100000</v>
      </c>
      <c r="G54" s="124">
        <v>3100000</v>
      </c>
      <c r="H54" s="139">
        <v>1500000</v>
      </c>
      <c r="I54" s="124">
        <v>1800000</v>
      </c>
      <c r="J54" s="124">
        <f>2400000+90000+1200000+500000</f>
        <v>4190000</v>
      </c>
      <c r="K54" s="124">
        <f>6000000+900000+60000+100000+1700000</f>
        <v>8760000</v>
      </c>
      <c r="L54" s="124">
        <f>1500000+700000+200000+1500000</f>
        <v>3900000</v>
      </c>
      <c r="M54" s="124">
        <f>1500000+1500000+150000+100000</f>
        <v>3250000</v>
      </c>
      <c r="N54" s="124">
        <f>1500000+1500000+200000+150000</f>
        <v>3350000</v>
      </c>
      <c r="O54" s="124">
        <f>3000000+150000</f>
        <v>3150000</v>
      </c>
      <c r="P54" s="156">
        <v>1550000</v>
      </c>
      <c r="Q54" s="124">
        <f>3150000</f>
        <v>3150000</v>
      </c>
      <c r="R54" s="124">
        <v>1200000</v>
      </c>
      <c r="S54" s="124">
        <f>1500000+1500000+300000</f>
        <v>3300000</v>
      </c>
      <c r="T54" s="124">
        <f>2800000</f>
        <v>2800000</v>
      </c>
      <c r="U54" s="124">
        <f>1500000+1200000+100000+200000</f>
        <v>3000000</v>
      </c>
      <c r="V54" s="124">
        <f>900000+1200000</f>
        <v>2100000</v>
      </c>
      <c r="W54" s="139">
        <v>300000</v>
      </c>
      <c r="X54" s="156">
        <v>104166</v>
      </c>
      <c r="Y54" s="139">
        <v>250000</v>
      </c>
      <c r="Z54" s="139">
        <v>100000</v>
      </c>
      <c r="AA54" s="156">
        <v>104166</v>
      </c>
      <c r="AB54" s="156">
        <v>104166</v>
      </c>
      <c r="AC54" s="156">
        <v>104166</v>
      </c>
      <c r="AD54" s="156">
        <v>104166</v>
      </c>
      <c r="AE54" s="156">
        <v>104166</v>
      </c>
      <c r="AF54" s="156">
        <v>104166</v>
      </c>
      <c r="AG54" s="156">
        <v>104166</v>
      </c>
      <c r="AH54" s="156">
        <v>104166</v>
      </c>
      <c r="AI54" s="156">
        <v>104166</v>
      </c>
      <c r="AJ54" s="156">
        <v>104166</v>
      </c>
      <c r="AK54" s="139">
        <v>200000</v>
      </c>
      <c r="AL54" s="139" t="s">
        <v>316</v>
      </c>
      <c r="AM54" s="139" t="s">
        <v>316</v>
      </c>
      <c r="AN54" s="139">
        <v>200000</v>
      </c>
      <c r="AO54" s="139">
        <v>200000</v>
      </c>
      <c r="AP54" s="139">
        <v>300000</v>
      </c>
    </row>
    <row r="55" spans="1:42" ht="30.75" customHeight="1" x14ac:dyDescent="0.35">
      <c r="A55" s="159"/>
      <c r="B55" s="10" t="s">
        <v>185</v>
      </c>
      <c r="C55" s="121" t="s">
        <v>311</v>
      </c>
      <c r="D55" s="121" t="s">
        <v>311</v>
      </c>
      <c r="E55" s="121" t="s">
        <v>404</v>
      </c>
      <c r="F55" s="121" t="s">
        <v>311</v>
      </c>
      <c r="G55" s="121" t="s">
        <v>311</v>
      </c>
      <c r="H55" s="121" t="s">
        <v>311</v>
      </c>
      <c r="I55" s="121" t="s">
        <v>311</v>
      </c>
      <c r="J55" s="121" t="s">
        <v>311</v>
      </c>
      <c r="K55" s="121" t="s">
        <v>311</v>
      </c>
      <c r="L55" s="121" t="s">
        <v>311</v>
      </c>
      <c r="M55" s="121" t="s">
        <v>311</v>
      </c>
      <c r="N55" s="121" t="s">
        <v>311</v>
      </c>
      <c r="O55" s="121" t="s">
        <v>311</v>
      </c>
      <c r="P55" s="121" t="s">
        <v>311</v>
      </c>
      <c r="Q55" s="121" t="s">
        <v>311</v>
      </c>
      <c r="R55" s="121" t="s">
        <v>311</v>
      </c>
      <c r="S55" s="121" t="s">
        <v>311</v>
      </c>
      <c r="T55" s="121" t="s">
        <v>311</v>
      </c>
      <c r="U55" s="121" t="s">
        <v>311</v>
      </c>
      <c r="V55" s="121" t="s">
        <v>311</v>
      </c>
      <c r="W55" s="121" t="s">
        <v>403</v>
      </c>
      <c r="X55" s="121" t="s">
        <v>404</v>
      </c>
      <c r="Y55" s="121" t="s">
        <v>404</v>
      </c>
      <c r="Z55" s="121" t="s">
        <v>404</v>
      </c>
      <c r="AA55" s="121" t="s">
        <v>404</v>
      </c>
      <c r="AB55" s="121" t="s">
        <v>404</v>
      </c>
      <c r="AC55" s="121" t="s">
        <v>404</v>
      </c>
      <c r="AD55" s="121" t="s">
        <v>405</v>
      </c>
      <c r="AE55" s="121" t="s">
        <v>404</v>
      </c>
      <c r="AF55" s="121" t="s">
        <v>405</v>
      </c>
      <c r="AG55" s="121" t="s">
        <v>404</v>
      </c>
      <c r="AH55" s="121" t="s">
        <v>405</v>
      </c>
      <c r="AI55" s="121" t="s">
        <v>405</v>
      </c>
      <c r="AJ55" s="121" t="s">
        <v>405</v>
      </c>
      <c r="AK55" s="121" t="s">
        <v>403</v>
      </c>
      <c r="AL55" s="121" t="s">
        <v>404</v>
      </c>
      <c r="AM55" s="121" t="s">
        <v>403</v>
      </c>
      <c r="AN55" s="121" t="s">
        <v>403</v>
      </c>
      <c r="AO55" s="121" t="s">
        <v>403</v>
      </c>
      <c r="AP55" s="121" t="s">
        <v>403</v>
      </c>
    </row>
    <row r="56" spans="1:42" x14ac:dyDescent="0.35">
      <c r="A56" s="4"/>
      <c r="B56" s="5"/>
      <c r="W56" s="134"/>
      <c r="X56" s="134"/>
      <c r="Y56" s="134"/>
      <c r="Z56" s="134"/>
      <c r="AA56" s="134"/>
      <c r="AB56" s="134"/>
      <c r="AC56" s="134"/>
      <c r="AD56" s="134"/>
      <c r="AE56" s="134"/>
      <c r="AF56" s="134"/>
      <c r="AG56" s="134"/>
      <c r="AH56" s="134"/>
      <c r="AI56" s="134"/>
      <c r="AJ56" s="134"/>
      <c r="AK56" s="134"/>
      <c r="AL56" s="134"/>
      <c r="AM56" s="134"/>
      <c r="AN56" s="134"/>
      <c r="AO56" s="134"/>
      <c r="AP56" s="134"/>
    </row>
    <row r="57" spans="1:42" ht="39.75" customHeight="1" x14ac:dyDescent="0.35">
      <c r="A57" s="159" t="s">
        <v>46</v>
      </c>
      <c r="B57" s="17" t="s">
        <v>186</v>
      </c>
      <c r="C57" s="124">
        <v>120000</v>
      </c>
      <c r="D57" s="124">
        <v>225000</v>
      </c>
      <c r="E57" s="124">
        <v>230000</v>
      </c>
      <c r="F57" s="124">
        <v>250000</v>
      </c>
      <c r="G57" s="124">
        <v>80000</v>
      </c>
      <c r="H57" s="124">
        <v>50000</v>
      </c>
      <c r="I57" s="124">
        <v>100000</v>
      </c>
      <c r="J57" s="124">
        <v>300000</v>
      </c>
      <c r="K57" s="124">
        <v>340000</v>
      </c>
      <c r="L57" s="124">
        <v>300000</v>
      </c>
      <c r="M57" s="124">
        <v>200000</v>
      </c>
      <c r="N57" s="124">
        <v>175000</v>
      </c>
      <c r="O57" s="124">
        <v>175000</v>
      </c>
      <c r="P57" s="124">
        <v>170000</v>
      </c>
      <c r="Q57" s="124">
        <v>200000</v>
      </c>
      <c r="R57" s="124">
        <v>150000</v>
      </c>
      <c r="S57" s="124">
        <v>100000</v>
      </c>
      <c r="T57" s="124">
        <v>100000</v>
      </c>
      <c r="U57" s="124">
        <v>100000</v>
      </c>
      <c r="V57" s="124">
        <v>100000</v>
      </c>
      <c r="W57" s="139">
        <v>150000</v>
      </c>
      <c r="X57" s="139">
        <v>150000</v>
      </c>
      <c r="Y57" s="139">
        <v>70000</v>
      </c>
      <c r="Z57" s="139">
        <v>50000</v>
      </c>
      <c r="AA57" s="139">
        <v>40000</v>
      </c>
      <c r="AB57" s="139">
        <v>200000</v>
      </c>
      <c r="AC57" s="139">
        <v>40000</v>
      </c>
      <c r="AD57" s="139">
        <v>60000</v>
      </c>
      <c r="AE57" s="139">
        <v>50000</v>
      </c>
      <c r="AF57" s="139">
        <v>35000</v>
      </c>
      <c r="AG57" s="139">
        <v>60000</v>
      </c>
      <c r="AH57" s="139">
        <v>50000</v>
      </c>
      <c r="AI57" s="139">
        <v>40000</v>
      </c>
      <c r="AJ57" s="139">
        <v>70000</v>
      </c>
      <c r="AK57" s="139">
        <v>60000</v>
      </c>
      <c r="AL57" s="139">
        <v>40000</v>
      </c>
      <c r="AM57" s="139">
        <v>70000</v>
      </c>
      <c r="AN57" s="139">
        <v>145000</v>
      </c>
      <c r="AO57" s="139">
        <v>100000</v>
      </c>
      <c r="AP57" s="139">
        <v>100000</v>
      </c>
    </row>
    <row r="58" spans="1:42" ht="39.75" customHeight="1" x14ac:dyDescent="0.35">
      <c r="A58" s="159"/>
      <c r="B58" s="17" t="s">
        <v>187</v>
      </c>
      <c r="C58" s="122"/>
      <c r="D58" s="122"/>
      <c r="E58" s="122"/>
      <c r="F58" s="122"/>
      <c r="G58" s="122"/>
      <c r="H58" s="122"/>
      <c r="I58" s="122"/>
      <c r="J58" s="122"/>
      <c r="K58" s="122"/>
      <c r="L58" s="122"/>
      <c r="M58" s="122"/>
      <c r="N58" s="122"/>
      <c r="O58" s="122"/>
      <c r="P58" s="122"/>
      <c r="Q58" s="122"/>
      <c r="R58" s="122"/>
      <c r="S58" s="122"/>
      <c r="T58" s="122"/>
      <c r="U58" s="122"/>
      <c r="V58" s="122"/>
      <c r="W58" s="121"/>
      <c r="X58" s="121"/>
      <c r="Y58" s="121"/>
      <c r="Z58" s="121"/>
      <c r="AA58" s="121"/>
      <c r="AB58" s="121"/>
      <c r="AC58" s="121"/>
      <c r="AD58" s="121"/>
      <c r="AE58" s="121"/>
      <c r="AF58" s="121"/>
      <c r="AG58" s="121"/>
      <c r="AH58" s="121"/>
      <c r="AI58" s="121"/>
      <c r="AJ58" s="121"/>
      <c r="AK58" s="121"/>
      <c r="AL58" s="121"/>
      <c r="AM58" s="121"/>
      <c r="AN58" s="121"/>
      <c r="AO58" s="121"/>
      <c r="AP58" s="121"/>
    </row>
    <row r="59" spans="1:42" ht="39.75" customHeight="1" x14ac:dyDescent="0.35">
      <c r="A59" s="159"/>
      <c r="B59" s="136" t="s">
        <v>188</v>
      </c>
      <c r="C59" s="121" t="s">
        <v>310</v>
      </c>
      <c r="D59" s="121" t="s">
        <v>310</v>
      </c>
      <c r="E59" s="121" t="s">
        <v>310</v>
      </c>
      <c r="F59" s="121" t="s">
        <v>310</v>
      </c>
      <c r="G59" s="121" t="s">
        <v>310</v>
      </c>
      <c r="H59" s="121" t="s">
        <v>310</v>
      </c>
      <c r="I59" s="121" t="s">
        <v>310</v>
      </c>
      <c r="J59" s="121" t="s">
        <v>310</v>
      </c>
      <c r="K59" s="121" t="s">
        <v>310</v>
      </c>
      <c r="L59" s="121" t="s">
        <v>310</v>
      </c>
      <c r="M59" s="121" t="s">
        <v>310</v>
      </c>
      <c r="N59" s="121" t="s">
        <v>310</v>
      </c>
      <c r="O59" s="121" t="s">
        <v>310</v>
      </c>
      <c r="P59" s="121" t="s">
        <v>310</v>
      </c>
      <c r="Q59" s="121" t="s">
        <v>307</v>
      </c>
      <c r="R59" s="121" t="s">
        <v>310</v>
      </c>
      <c r="S59" s="121" t="s">
        <v>310</v>
      </c>
      <c r="T59" s="121" t="s">
        <v>307</v>
      </c>
      <c r="U59" s="121" t="s">
        <v>310</v>
      </c>
      <c r="V59" s="121" t="s">
        <v>310</v>
      </c>
      <c r="W59" s="121" t="s">
        <v>310</v>
      </c>
      <c r="X59" s="121" t="s">
        <v>307</v>
      </c>
      <c r="Y59" s="121" t="s">
        <v>310</v>
      </c>
      <c r="Z59" s="121" t="s">
        <v>310</v>
      </c>
      <c r="AA59" s="121" t="s">
        <v>307</v>
      </c>
      <c r="AB59" s="121" t="s">
        <v>310</v>
      </c>
      <c r="AC59" s="121" t="s">
        <v>310</v>
      </c>
      <c r="AD59" s="121" t="s">
        <v>310</v>
      </c>
      <c r="AE59" s="121" t="s">
        <v>307</v>
      </c>
      <c r="AF59" s="121" t="s">
        <v>310</v>
      </c>
      <c r="AG59" s="121" t="s">
        <v>307</v>
      </c>
      <c r="AH59" s="121" t="s">
        <v>310</v>
      </c>
      <c r="AI59" s="121" t="s">
        <v>310</v>
      </c>
      <c r="AJ59" s="121" t="s">
        <v>307</v>
      </c>
      <c r="AK59" s="121" t="s">
        <v>307</v>
      </c>
      <c r="AL59" s="121" t="s">
        <v>307</v>
      </c>
      <c r="AM59" s="121" t="s">
        <v>307</v>
      </c>
      <c r="AN59" s="121" t="s">
        <v>307</v>
      </c>
      <c r="AO59" s="121" t="s">
        <v>307</v>
      </c>
      <c r="AP59" s="121" t="s">
        <v>307</v>
      </c>
    </row>
    <row r="60" spans="1:42" ht="39.75" customHeight="1" x14ac:dyDescent="0.35">
      <c r="A60" s="159"/>
      <c r="B60" s="136" t="s">
        <v>189</v>
      </c>
      <c r="C60" s="121" t="s">
        <v>307</v>
      </c>
      <c r="D60" s="121" t="s">
        <v>307</v>
      </c>
      <c r="E60" s="121" t="s">
        <v>310</v>
      </c>
      <c r="F60" s="121" t="s">
        <v>310</v>
      </c>
      <c r="G60" s="121" t="s">
        <v>307</v>
      </c>
      <c r="H60" s="121" t="s">
        <v>310</v>
      </c>
      <c r="I60" s="121" t="s">
        <v>310</v>
      </c>
      <c r="J60" s="121" t="s">
        <v>310</v>
      </c>
      <c r="K60" s="121" t="s">
        <v>310</v>
      </c>
      <c r="L60" s="121" t="s">
        <v>310</v>
      </c>
      <c r="M60" s="121" t="s">
        <v>307</v>
      </c>
      <c r="N60" s="121" t="s">
        <v>310</v>
      </c>
      <c r="O60" s="121" t="s">
        <v>310</v>
      </c>
      <c r="P60" s="121" t="s">
        <v>310</v>
      </c>
      <c r="Q60" s="121" t="s">
        <v>307</v>
      </c>
      <c r="R60" s="121" t="s">
        <v>310</v>
      </c>
      <c r="S60" s="121" t="s">
        <v>307</v>
      </c>
      <c r="T60" s="121" t="s">
        <v>307</v>
      </c>
      <c r="U60" s="121" t="s">
        <v>307</v>
      </c>
      <c r="V60" s="121" t="s">
        <v>307</v>
      </c>
      <c r="W60" s="121" t="s">
        <v>307</v>
      </c>
      <c r="X60" s="121" t="s">
        <v>307</v>
      </c>
      <c r="Y60" s="121" t="s">
        <v>307</v>
      </c>
      <c r="Z60" s="121" t="s">
        <v>310</v>
      </c>
      <c r="AA60" s="121" t="s">
        <v>307</v>
      </c>
      <c r="AB60" s="121" t="s">
        <v>307</v>
      </c>
      <c r="AC60" s="121" t="s">
        <v>307</v>
      </c>
      <c r="AD60" s="121" t="s">
        <v>307</v>
      </c>
      <c r="AE60" s="121" t="s">
        <v>307</v>
      </c>
      <c r="AF60" s="121" t="s">
        <v>307</v>
      </c>
      <c r="AG60" s="121" t="s">
        <v>307</v>
      </c>
      <c r="AH60" s="121" t="s">
        <v>307</v>
      </c>
      <c r="AI60" s="121" t="s">
        <v>307</v>
      </c>
      <c r="AJ60" s="121" t="s">
        <v>307</v>
      </c>
      <c r="AK60" s="121" t="s">
        <v>307</v>
      </c>
      <c r="AL60" s="121" t="s">
        <v>307</v>
      </c>
      <c r="AM60" s="121" t="s">
        <v>310</v>
      </c>
      <c r="AN60" s="121" t="s">
        <v>307</v>
      </c>
      <c r="AO60" s="121" t="s">
        <v>307</v>
      </c>
      <c r="AP60" s="121" t="s">
        <v>307</v>
      </c>
    </row>
    <row r="61" spans="1:42" ht="39.75" customHeight="1" x14ac:dyDescent="0.35">
      <c r="A61" s="159"/>
      <c r="B61" s="136" t="s">
        <v>190</v>
      </c>
      <c r="C61" s="121" t="s">
        <v>307</v>
      </c>
      <c r="D61" s="121" t="s">
        <v>307</v>
      </c>
      <c r="E61" s="121" t="s">
        <v>307</v>
      </c>
      <c r="F61" s="121" t="s">
        <v>307</v>
      </c>
      <c r="G61" s="121" t="s">
        <v>307</v>
      </c>
      <c r="H61" s="121" t="s">
        <v>307</v>
      </c>
      <c r="I61" s="121" t="s">
        <v>307</v>
      </c>
      <c r="J61" s="121" t="s">
        <v>307</v>
      </c>
      <c r="K61" s="121" t="s">
        <v>307</v>
      </c>
      <c r="L61" s="121" t="s">
        <v>307</v>
      </c>
      <c r="M61" s="121" t="s">
        <v>307</v>
      </c>
      <c r="N61" s="121" t="s">
        <v>310</v>
      </c>
      <c r="O61" s="121" t="s">
        <v>307</v>
      </c>
      <c r="P61" s="121" t="s">
        <v>307</v>
      </c>
      <c r="Q61" s="121" t="s">
        <v>307</v>
      </c>
      <c r="R61" s="121" t="s">
        <v>307</v>
      </c>
      <c r="S61" s="121" t="s">
        <v>307</v>
      </c>
      <c r="T61" s="121" t="s">
        <v>307</v>
      </c>
      <c r="U61" s="121" t="s">
        <v>307</v>
      </c>
      <c r="V61" s="121" t="s">
        <v>307</v>
      </c>
      <c r="W61" s="121" t="s">
        <v>307</v>
      </c>
      <c r="X61" s="121" t="s">
        <v>307</v>
      </c>
      <c r="Y61" s="121" t="s">
        <v>307</v>
      </c>
      <c r="Z61" s="121" t="s">
        <v>307</v>
      </c>
      <c r="AA61" s="121" t="s">
        <v>307</v>
      </c>
      <c r="AB61" s="121" t="s">
        <v>307</v>
      </c>
      <c r="AC61" s="121" t="s">
        <v>307</v>
      </c>
      <c r="AD61" s="121" t="s">
        <v>307</v>
      </c>
      <c r="AE61" s="121" t="s">
        <v>307</v>
      </c>
      <c r="AF61" s="121" t="s">
        <v>307</v>
      </c>
      <c r="AG61" s="121" t="s">
        <v>307</v>
      </c>
      <c r="AH61" s="121" t="s">
        <v>307</v>
      </c>
      <c r="AI61" s="121" t="s">
        <v>307</v>
      </c>
      <c r="AJ61" s="121" t="s">
        <v>307</v>
      </c>
      <c r="AK61" s="121" t="s">
        <v>307</v>
      </c>
      <c r="AL61" s="121" t="s">
        <v>307</v>
      </c>
      <c r="AM61" s="121" t="s">
        <v>307</v>
      </c>
      <c r="AN61" s="121" t="s">
        <v>307</v>
      </c>
      <c r="AO61" s="121" t="s">
        <v>307</v>
      </c>
      <c r="AP61" s="121" t="s">
        <v>307</v>
      </c>
    </row>
    <row r="62" spans="1:42" ht="39.75" customHeight="1" x14ac:dyDescent="0.35">
      <c r="A62" s="159"/>
      <c r="B62" s="136" t="s">
        <v>191</v>
      </c>
      <c r="C62" s="121" t="s">
        <v>310</v>
      </c>
      <c r="D62" s="121" t="s">
        <v>310</v>
      </c>
      <c r="E62" s="121" t="s">
        <v>310</v>
      </c>
      <c r="F62" s="121" t="s">
        <v>310</v>
      </c>
      <c r="G62" s="121" t="s">
        <v>307</v>
      </c>
      <c r="H62" s="121" t="s">
        <v>310</v>
      </c>
      <c r="I62" s="121" t="s">
        <v>310</v>
      </c>
      <c r="J62" s="121" t="s">
        <v>307</v>
      </c>
      <c r="K62" s="121" t="s">
        <v>310</v>
      </c>
      <c r="L62" s="121" t="s">
        <v>310</v>
      </c>
      <c r="M62" s="121" t="s">
        <v>307</v>
      </c>
      <c r="N62" s="121" t="s">
        <v>310</v>
      </c>
      <c r="O62" s="121" t="s">
        <v>310</v>
      </c>
      <c r="P62" s="121" t="s">
        <v>307</v>
      </c>
      <c r="Q62" s="121" t="s">
        <v>310</v>
      </c>
      <c r="R62" s="121" t="s">
        <v>307</v>
      </c>
      <c r="S62" s="121" t="s">
        <v>310</v>
      </c>
      <c r="T62" s="121" t="s">
        <v>310</v>
      </c>
      <c r="U62" s="121" t="s">
        <v>307</v>
      </c>
      <c r="V62" s="121" t="s">
        <v>310</v>
      </c>
      <c r="W62" s="121" t="s">
        <v>307</v>
      </c>
      <c r="X62" s="121" t="s">
        <v>310</v>
      </c>
      <c r="Y62" s="121" t="s">
        <v>310</v>
      </c>
      <c r="Z62" s="121" t="s">
        <v>310</v>
      </c>
      <c r="AA62" s="121" t="s">
        <v>310</v>
      </c>
      <c r="AB62" s="121" t="s">
        <v>307</v>
      </c>
      <c r="AC62" s="121" t="s">
        <v>310</v>
      </c>
      <c r="AD62" s="121" t="s">
        <v>307</v>
      </c>
      <c r="AE62" s="121" t="s">
        <v>307</v>
      </c>
      <c r="AF62" s="121" t="s">
        <v>307</v>
      </c>
      <c r="AG62" s="121" t="s">
        <v>307</v>
      </c>
      <c r="AH62" s="121" t="s">
        <v>310</v>
      </c>
      <c r="AI62" s="121" t="s">
        <v>307</v>
      </c>
      <c r="AJ62" s="121" t="s">
        <v>307</v>
      </c>
      <c r="AK62" s="121" t="s">
        <v>307</v>
      </c>
      <c r="AL62" s="121" t="s">
        <v>307</v>
      </c>
      <c r="AM62" s="121" t="s">
        <v>310</v>
      </c>
      <c r="AN62" s="121" t="s">
        <v>307</v>
      </c>
      <c r="AO62" s="121" t="s">
        <v>310</v>
      </c>
      <c r="AP62" s="121" t="s">
        <v>307</v>
      </c>
    </row>
    <row r="63" spans="1:42" ht="39.75" customHeight="1" x14ac:dyDescent="0.35">
      <c r="A63" s="159"/>
      <c r="B63" s="136" t="s">
        <v>192</v>
      </c>
      <c r="C63" s="121" t="s">
        <v>307</v>
      </c>
      <c r="D63" s="121" t="s">
        <v>307</v>
      </c>
      <c r="E63" s="121" t="s">
        <v>307</v>
      </c>
      <c r="F63" s="121" t="s">
        <v>307</v>
      </c>
      <c r="G63" s="121" t="s">
        <v>307</v>
      </c>
      <c r="H63" s="121" t="s">
        <v>307</v>
      </c>
      <c r="I63" s="121" t="s">
        <v>307</v>
      </c>
      <c r="J63" s="121" t="s">
        <v>307</v>
      </c>
      <c r="K63" s="121" t="s">
        <v>307</v>
      </c>
      <c r="L63" s="121" t="s">
        <v>307</v>
      </c>
      <c r="M63" s="121" t="s">
        <v>307</v>
      </c>
      <c r="N63" s="121" t="s">
        <v>307</v>
      </c>
      <c r="O63" s="121" t="s">
        <v>307</v>
      </c>
      <c r="P63" s="121" t="s">
        <v>307</v>
      </c>
      <c r="Q63" s="121" t="s">
        <v>307</v>
      </c>
      <c r="R63" s="121" t="s">
        <v>307</v>
      </c>
      <c r="S63" s="121" t="s">
        <v>307</v>
      </c>
      <c r="T63" s="121" t="s">
        <v>307</v>
      </c>
      <c r="U63" s="121" t="s">
        <v>307</v>
      </c>
      <c r="V63" s="121" t="s">
        <v>307</v>
      </c>
      <c r="W63" s="121" t="s">
        <v>307</v>
      </c>
      <c r="X63" s="121" t="s">
        <v>307</v>
      </c>
      <c r="Y63" s="121" t="s">
        <v>307</v>
      </c>
      <c r="Z63" s="121" t="s">
        <v>310</v>
      </c>
      <c r="AA63" s="121" t="s">
        <v>307</v>
      </c>
      <c r="AB63" s="121" t="s">
        <v>307</v>
      </c>
      <c r="AC63" s="121" t="s">
        <v>307</v>
      </c>
      <c r="AD63" s="121" t="s">
        <v>307</v>
      </c>
      <c r="AE63" s="121" t="s">
        <v>307</v>
      </c>
      <c r="AF63" s="121" t="s">
        <v>307</v>
      </c>
      <c r="AG63" s="121" t="s">
        <v>307</v>
      </c>
      <c r="AH63" s="121" t="s">
        <v>307</v>
      </c>
      <c r="AI63" s="121" t="s">
        <v>307</v>
      </c>
      <c r="AJ63" s="121" t="s">
        <v>307</v>
      </c>
      <c r="AK63" s="121" t="s">
        <v>307</v>
      </c>
      <c r="AL63" s="121" t="s">
        <v>307</v>
      </c>
      <c r="AM63" s="121" t="s">
        <v>307</v>
      </c>
      <c r="AN63" s="121" t="s">
        <v>307</v>
      </c>
      <c r="AO63" s="121" t="s">
        <v>307</v>
      </c>
      <c r="AP63" s="121" t="s">
        <v>307</v>
      </c>
    </row>
    <row r="64" spans="1:42" ht="39.75" customHeight="1" x14ac:dyDescent="0.35">
      <c r="A64" s="159"/>
      <c r="B64" s="136" t="s">
        <v>193</v>
      </c>
      <c r="C64" s="121" t="s">
        <v>310</v>
      </c>
      <c r="D64" s="121" t="s">
        <v>310</v>
      </c>
      <c r="E64" s="121" t="s">
        <v>310</v>
      </c>
      <c r="F64" s="121" t="s">
        <v>307</v>
      </c>
      <c r="G64" s="121" t="s">
        <v>310</v>
      </c>
      <c r="H64" s="121" t="s">
        <v>310</v>
      </c>
      <c r="I64" s="121" t="s">
        <v>310</v>
      </c>
      <c r="J64" s="121" t="s">
        <v>310</v>
      </c>
      <c r="K64" s="121" t="s">
        <v>310</v>
      </c>
      <c r="L64" s="121" t="s">
        <v>310</v>
      </c>
      <c r="M64" s="121" t="s">
        <v>310</v>
      </c>
      <c r="N64" s="121" t="s">
        <v>310</v>
      </c>
      <c r="O64" s="121" t="s">
        <v>310</v>
      </c>
      <c r="P64" s="121" t="s">
        <v>310</v>
      </c>
      <c r="Q64" s="121" t="s">
        <v>310</v>
      </c>
      <c r="R64" s="121" t="s">
        <v>310</v>
      </c>
      <c r="S64" s="121" t="s">
        <v>307</v>
      </c>
      <c r="T64" s="121" t="s">
        <v>310</v>
      </c>
      <c r="U64" s="121" t="s">
        <v>310</v>
      </c>
      <c r="V64" s="121" t="s">
        <v>310</v>
      </c>
      <c r="W64" s="121" t="s">
        <v>310</v>
      </c>
      <c r="X64" s="121" t="s">
        <v>310</v>
      </c>
      <c r="Y64" s="121" t="s">
        <v>310</v>
      </c>
      <c r="Z64" s="121" t="s">
        <v>310</v>
      </c>
      <c r="AA64" s="121" t="s">
        <v>310</v>
      </c>
      <c r="AB64" s="121" t="s">
        <v>310</v>
      </c>
      <c r="AC64" s="121" t="s">
        <v>310</v>
      </c>
      <c r="AD64" s="121" t="s">
        <v>310</v>
      </c>
      <c r="AE64" s="121" t="s">
        <v>310</v>
      </c>
      <c r="AF64" s="121" t="s">
        <v>310</v>
      </c>
      <c r="AG64" s="121" t="s">
        <v>310</v>
      </c>
      <c r="AH64" s="121" t="s">
        <v>310</v>
      </c>
      <c r="AI64" s="121" t="s">
        <v>310</v>
      </c>
      <c r="AJ64" s="121" t="s">
        <v>310</v>
      </c>
      <c r="AK64" s="121" t="s">
        <v>310</v>
      </c>
      <c r="AL64" s="121" t="s">
        <v>310</v>
      </c>
      <c r="AM64" s="121" t="s">
        <v>310</v>
      </c>
      <c r="AN64" s="121" t="s">
        <v>310</v>
      </c>
      <c r="AO64" s="121" t="s">
        <v>310</v>
      </c>
      <c r="AP64" s="121" t="s">
        <v>307</v>
      </c>
    </row>
    <row r="65" spans="1:42" ht="39.75" customHeight="1" x14ac:dyDescent="0.35">
      <c r="A65" s="159"/>
      <c r="B65" s="136" t="s">
        <v>194</v>
      </c>
      <c r="C65" s="121" t="s">
        <v>310</v>
      </c>
      <c r="D65" s="121" t="s">
        <v>310</v>
      </c>
      <c r="E65" s="121" t="s">
        <v>310</v>
      </c>
      <c r="F65" s="121" t="s">
        <v>310</v>
      </c>
      <c r="G65" s="121" t="s">
        <v>310</v>
      </c>
      <c r="H65" s="121" t="s">
        <v>310</v>
      </c>
      <c r="I65" s="121" t="s">
        <v>310</v>
      </c>
      <c r="J65" s="121" t="s">
        <v>310</v>
      </c>
      <c r="K65" s="121" t="s">
        <v>310</v>
      </c>
      <c r="L65" s="121" t="s">
        <v>310</v>
      </c>
      <c r="M65" s="121" t="s">
        <v>310</v>
      </c>
      <c r="N65" s="121" t="s">
        <v>310</v>
      </c>
      <c r="O65" s="121" t="s">
        <v>310</v>
      </c>
      <c r="P65" s="121" t="s">
        <v>310</v>
      </c>
      <c r="Q65" s="121" t="s">
        <v>307</v>
      </c>
      <c r="R65" s="121" t="s">
        <v>310</v>
      </c>
      <c r="S65" s="121" t="s">
        <v>310</v>
      </c>
      <c r="T65" s="121" t="s">
        <v>310</v>
      </c>
      <c r="U65" s="121" t="s">
        <v>310</v>
      </c>
      <c r="V65" s="121" t="s">
        <v>310</v>
      </c>
      <c r="W65" s="121" t="s">
        <v>310</v>
      </c>
      <c r="X65" s="121" t="s">
        <v>310</v>
      </c>
      <c r="Y65" s="121" t="s">
        <v>310</v>
      </c>
      <c r="Z65" s="121" t="s">
        <v>310</v>
      </c>
      <c r="AA65" s="121" t="s">
        <v>310</v>
      </c>
      <c r="AB65" s="121" t="s">
        <v>310</v>
      </c>
      <c r="AC65" s="121" t="s">
        <v>310</v>
      </c>
      <c r="AD65" s="121" t="s">
        <v>307</v>
      </c>
      <c r="AE65" s="121" t="s">
        <v>310</v>
      </c>
      <c r="AF65" s="121" t="s">
        <v>307</v>
      </c>
      <c r="AG65" s="121" t="s">
        <v>310</v>
      </c>
      <c r="AH65" s="121" t="s">
        <v>310</v>
      </c>
      <c r="AI65" s="121" t="s">
        <v>310</v>
      </c>
      <c r="AJ65" s="121" t="s">
        <v>307</v>
      </c>
      <c r="AK65" s="121" t="s">
        <v>307</v>
      </c>
      <c r="AL65" s="121" t="s">
        <v>310</v>
      </c>
      <c r="AM65" s="121" t="s">
        <v>310</v>
      </c>
      <c r="AN65" s="121" t="s">
        <v>307</v>
      </c>
      <c r="AO65" s="121" t="s">
        <v>310</v>
      </c>
      <c r="AP65" s="121" t="s">
        <v>307</v>
      </c>
    </row>
    <row r="66" spans="1:42" ht="39.75" customHeight="1" x14ac:dyDescent="0.35">
      <c r="A66" s="159"/>
      <c r="B66" s="136" t="s">
        <v>195</v>
      </c>
      <c r="C66" s="121" t="s">
        <v>310</v>
      </c>
      <c r="D66" s="121" t="s">
        <v>310</v>
      </c>
      <c r="E66" s="121" t="s">
        <v>310</v>
      </c>
      <c r="F66" s="121" t="s">
        <v>310</v>
      </c>
      <c r="G66" s="121" t="s">
        <v>310</v>
      </c>
      <c r="H66" s="121" t="s">
        <v>310</v>
      </c>
      <c r="I66" s="121" t="s">
        <v>310</v>
      </c>
      <c r="J66" s="121" t="s">
        <v>310</v>
      </c>
      <c r="K66" s="121" t="s">
        <v>310</v>
      </c>
      <c r="L66" s="121" t="s">
        <v>310</v>
      </c>
      <c r="M66" s="121" t="s">
        <v>310</v>
      </c>
      <c r="N66" s="121" t="s">
        <v>310</v>
      </c>
      <c r="O66" s="121" t="s">
        <v>310</v>
      </c>
      <c r="P66" s="121" t="s">
        <v>310</v>
      </c>
      <c r="Q66" s="121" t="s">
        <v>310</v>
      </c>
      <c r="R66" s="121" t="s">
        <v>310</v>
      </c>
      <c r="S66" s="121" t="s">
        <v>310</v>
      </c>
      <c r="T66" s="121" t="s">
        <v>310</v>
      </c>
      <c r="U66" s="121" t="s">
        <v>310</v>
      </c>
      <c r="V66" s="121" t="s">
        <v>310</v>
      </c>
      <c r="W66" s="121" t="s">
        <v>310</v>
      </c>
      <c r="X66" s="121" t="s">
        <v>310</v>
      </c>
      <c r="Y66" s="121" t="s">
        <v>310</v>
      </c>
      <c r="Z66" s="121" t="s">
        <v>310</v>
      </c>
      <c r="AA66" s="121" t="s">
        <v>310</v>
      </c>
      <c r="AB66" s="121" t="s">
        <v>310</v>
      </c>
      <c r="AC66" s="121" t="s">
        <v>310</v>
      </c>
      <c r="AD66" s="121" t="s">
        <v>310</v>
      </c>
      <c r="AE66" s="121" t="s">
        <v>307</v>
      </c>
      <c r="AF66" s="121" t="s">
        <v>310</v>
      </c>
      <c r="AG66" s="121" t="s">
        <v>310</v>
      </c>
      <c r="AH66" s="121" t="s">
        <v>310</v>
      </c>
      <c r="AI66" s="121" t="s">
        <v>310</v>
      </c>
      <c r="AJ66" s="121" t="s">
        <v>310</v>
      </c>
      <c r="AK66" s="121" t="s">
        <v>307</v>
      </c>
      <c r="AL66" s="121" t="s">
        <v>310</v>
      </c>
      <c r="AM66" s="121" t="s">
        <v>310</v>
      </c>
      <c r="AN66" s="121" t="s">
        <v>310</v>
      </c>
      <c r="AO66" s="121" t="s">
        <v>310</v>
      </c>
      <c r="AP66" s="121" t="s">
        <v>307</v>
      </c>
    </row>
    <row r="67" spans="1:42" ht="39.75" customHeight="1" x14ac:dyDescent="0.35">
      <c r="A67" s="159"/>
      <c r="B67" s="17" t="s">
        <v>196</v>
      </c>
      <c r="C67" s="122"/>
      <c r="D67" s="122"/>
      <c r="E67" s="122"/>
      <c r="F67" s="122"/>
      <c r="G67" s="122"/>
      <c r="H67" s="122"/>
      <c r="I67" s="122"/>
      <c r="J67" s="122"/>
      <c r="K67" s="122"/>
      <c r="L67" s="122"/>
      <c r="M67" s="122"/>
      <c r="N67" s="122"/>
      <c r="O67" s="122"/>
      <c r="P67" s="122"/>
      <c r="Q67" s="122"/>
      <c r="R67" s="122"/>
      <c r="S67" s="122"/>
      <c r="T67" s="122"/>
      <c r="U67" s="122"/>
      <c r="V67" s="122"/>
      <c r="W67" s="121"/>
      <c r="X67" s="121"/>
      <c r="Y67" s="121"/>
      <c r="Z67" s="121"/>
      <c r="AA67" s="121"/>
      <c r="AB67" s="121"/>
      <c r="AC67" s="121"/>
      <c r="AD67" s="121"/>
      <c r="AE67" s="121"/>
      <c r="AF67" s="121"/>
      <c r="AG67" s="121"/>
      <c r="AH67" s="121"/>
      <c r="AI67" s="121"/>
      <c r="AJ67" s="121"/>
      <c r="AK67" s="121"/>
      <c r="AL67" s="121"/>
      <c r="AM67" s="121"/>
      <c r="AN67" s="121"/>
      <c r="AO67" s="121"/>
      <c r="AP67" s="121"/>
    </row>
    <row r="68" spans="1:42" ht="39.75" customHeight="1" x14ac:dyDescent="0.35">
      <c r="A68" s="159"/>
      <c r="B68" s="136" t="s">
        <v>197</v>
      </c>
      <c r="C68" s="121" t="s">
        <v>307</v>
      </c>
      <c r="D68" s="121" t="s">
        <v>307</v>
      </c>
      <c r="E68" s="121" t="s">
        <v>307</v>
      </c>
      <c r="F68" s="121" t="s">
        <v>307</v>
      </c>
      <c r="G68" s="121" t="s">
        <v>307</v>
      </c>
      <c r="H68" s="121" t="s">
        <v>307</v>
      </c>
      <c r="I68" s="121" t="s">
        <v>307</v>
      </c>
      <c r="J68" s="121" t="s">
        <v>307</v>
      </c>
      <c r="K68" s="121" t="s">
        <v>307</v>
      </c>
      <c r="L68" s="121" t="s">
        <v>307</v>
      </c>
      <c r="M68" s="121" t="s">
        <v>307</v>
      </c>
      <c r="N68" s="121" t="s">
        <v>307</v>
      </c>
      <c r="O68" s="121" t="s">
        <v>307</v>
      </c>
      <c r="P68" s="121" t="s">
        <v>307</v>
      </c>
      <c r="Q68" s="121" t="s">
        <v>307</v>
      </c>
      <c r="R68" s="121" t="s">
        <v>307</v>
      </c>
      <c r="S68" s="121" t="s">
        <v>307</v>
      </c>
      <c r="T68" s="121" t="s">
        <v>307</v>
      </c>
      <c r="U68" s="121" t="s">
        <v>307</v>
      </c>
      <c r="V68" s="121" t="s">
        <v>307</v>
      </c>
      <c r="W68" s="121" t="s">
        <v>307</v>
      </c>
      <c r="X68" s="121" t="s">
        <v>307</v>
      </c>
      <c r="Y68" s="121" t="s">
        <v>307</v>
      </c>
      <c r="Z68" s="121" t="s">
        <v>307</v>
      </c>
      <c r="AA68" s="121" t="s">
        <v>310</v>
      </c>
      <c r="AB68" s="121" t="s">
        <v>307</v>
      </c>
      <c r="AC68" s="121" t="s">
        <v>307</v>
      </c>
      <c r="AD68" s="121" t="s">
        <v>307</v>
      </c>
      <c r="AE68" s="121" t="s">
        <v>307</v>
      </c>
      <c r="AF68" s="121" t="s">
        <v>307</v>
      </c>
      <c r="AG68" s="121" t="s">
        <v>307</v>
      </c>
      <c r="AH68" s="121" t="s">
        <v>307</v>
      </c>
      <c r="AI68" s="121" t="s">
        <v>307</v>
      </c>
      <c r="AJ68" s="121" t="s">
        <v>307</v>
      </c>
      <c r="AK68" s="121" t="s">
        <v>307</v>
      </c>
      <c r="AL68" s="121" t="s">
        <v>307</v>
      </c>
      <c r="AM68" s="121" t="s">
        <v>307</v>
      </c>
      <c r="AN68" s="121" t="s">
        <v>307</v>
      </c>
      <c r="AO68" s="121" t="s">
        <v>307</v>
      </c>
      <c r="AP68" s="121" t="s">
        <v>307</v>
      </c>
    </row>
    <row r="69" spans="1:42" ht="39.75" customHeight="1" x14ac:dyDescent="0.35">
      <c r="A69" s="159"/>
      <c r="B69" s="136" t="s">
        <v>198</v>
      </c>
      <c r="C69" s="121" t="s">
        <v>307</v>
      </c>
      <c r="D69" s="121" t="s">
        <v>307</v>
      </c>
      <c r="E69" s="121" t="s">
        <v>307</v>
      </c>
      <c r="F69" s="121" t="s">
        <v>307</v>
      </c>
      <c r="G69" s="121" t="s">
        <v>307</v>
      </c>
      <c r="H69" s="121" t="s">
        <v>307</v>
      </c>
      <c r="I69" s="121" t="s">
        <v>307</v>
      </c>
      <c r="J69" s="121" t="s">
        <v>307</v>
      </c>
      <c r="K69" s="121" t="s">
        <v>307</v>
      </c>
      <c r="L69" s="121" t="s">
        <v>307</v>
      </c>
      <c r="M69" s="121" t="s">
        <v>307</v>
      </c>
      <c r="N69" s="121" t="s">
        <v>307</v>
      </c>
      <c r="O69" s="121" t="s">
        <v>307</v>
      </c>
      <c r="P69" s="121" t="s">
        <v>307</v>
      </c>
      <c r="Q69" s="121" t="s">
        <v>307</v>
      </c>
      <c r="R69" s="121" t="s">
        <v>307</v>
      </c>
      <c r="S69" s="121" t="s">
        <v>307</v>
      </c>
      <c r="T69" s="121" t="s">
        <v>307</v>
      </c>
      <c r="U69" s="121" t="s">
        <v>307</v>
      </c>
      <c r="V69" s="121" t="s">
        <v>307</v>
      </c>
      <c r="W69" s="121" t="s">
        <v>307</v>
      </c>
      <c r="X69" s="121" t="s">
        <v>307</v>
      </c>
      <c r="Y69" s="121" t="s">
        <v>307</v>
      </c>
      <c r="Z69" s="121" t="s">
        <v>307</v>
      </c>
      <c r="AA69" s="121" t="s">
        <v>307</v>
      </c>
      <c r="AB69" s="121" t="s">
        <v>307</v>
      </c>
      <c r="AC69" s="121" t="s">
        <v>307</v>
      </c>
      <c r="AD69" s="121" t="s">
        <v>307</v>
      </c>
      <c r="AE69" s="121" t="s">
        <v>307</v>
      </c>
      <c r="AF69" s="121" t="s">
        <v>307</v>
      </c>
      <c r="AG69" s="121" t="s">
        <v>307</v>
      </c>
      <c r="AH69" s="121" t="s">
        <v>307</v>
      </c>
      <c r="AI69" s="121" t="s">
        <v>307</v>
      </c>
      <c r="AJ69" s="121" t="s">
        <v>307</v>
      </c>
      <c r="AK69" s="121" t="s">
        <v>307</v>
      </c>
      <c r="AL69" s="121" t="s">
        <v>307</v>
      </c>
      <c r="AM69" s="121" t="s">
        <v>307</v>
      </c>
      <c r="AN69" s="121" t="s">
        <v>307</v>
      </c>
      <c r="AO69" s="121" t="s">
        <v>307</v>
      </c>
      <c r="AP69" s="121" t="s">
        <v>307</v>
      </c>
    </row>
    <row r="70" spans="1:42" ht="39.75" customHeight="1" x14ac:dyDescent="0.35">
      <c r="A70" s="159"/>
      <c r="B70" s="136" t="s">
        <v>199</v>
      </c>
      <c r="C70" s="121" t="s">
        <v>307</v>
      </c>
      <c r="D70" s="121" t="s">
        <v>307</v>
      </c>
      <c r="E70" s="121" t="s">
        <v>307</v>
      </c>
      <c r="F70" s="121" t="s">
        <v>307</v>
      </c>
      <c r="G70" s="121" t="s">
        <v>307</v>
      </c>
      <c r="H70" s="121" t="s">
        <v>307</v>
      </c>
      <c r="I70" s="121" t="s">
        <v>307</v>
      </c>
      <c r="J70" s="121" t="s">
        <v>307</v>
      </c>
      <c r="K70" s="121" t="s">
        <v>307</v>
      </c>
      <c r="L70" s="121" t="s">
        <v>307</v>
      </c>
      <c r="M70" s="121" t="s">
        <v>310</v>
      </c>
      <c r="N70" s="121" t="s">
        <v>307</v>
      </c>
      <c r="O70" s="121" t="s">
        <v>310</v>
      </c>
      <c r="P70" s="121" t="s">
        <v>307</v>
      </c>
      <c r="Q70" s="121" t="s">
        <v>310</v>
      </c>
      <c r="R70" s="121" t="s">
        <v>310</v>
      </c>
      <c r="S70" s="121" t="s">
        <v>307</v>
      </c>
      <c r="T70" s="121" t="s">
        <v>307</v>
      </c>
      <c r="U70" s="121" t="s">
        <v>307</v>
      </c>
      <c r="V70" s="121" t="s">
        <v>307</v>
      </c>
      <c r="W70" s="121" t="s">
        <v>307</v>
      </c>
      <c r="X70" s="121" t="s">
        <v>307</v>
      </c>
      <c r="Y70" s="121" t="s">
        <v>307</v>
      </c>
      <c r="Z70" s="121" t="s">
        <v>307</v>
      </c>
      <c r="AA70" s="121" t="s">
        <v>307</v>
      </c>
      <c r="AB70" s="121" t="s">
        <v>307</v>
      </c>
      <c r="AC70" s="121" t="s">
        <v>310</v>
      </c>
      <c r="AD70" s="121" t="s">
        <v>307</v>
      </c>
      <c r="AE70" s="121" t="s">
        <v>310</v>
      </c>
      <c r="AF70" s="121" t="s">
        <v>310</v>
      </c>
      <c r="AG70" s="121" t="s">
        <v>310</v>
      </c>
      <c r="AH70" s="121" t="s">
        <v>307</v>
      </c>
      <c r="AI70" s="121" t="s">
        <v>310</v>
      </c>
      <c r="AJ70" s="121" t="s">
        <v>310</v>
      </c>
      <c r="AK70" s="121" t="s">
        <v>310</v>
      </c>
      <c r="AL70" s="121" t="s">
        <v>307</v>
      </c>
      <c r="AM70" s="121" t="s">
        <v>310</v>
      </c>
      <c r="AN70" s="121" t="s">
        <v>307</v>
      </c>
      <c r="AO70" s="121" t="s">
        <v>307</v>
      </c>
      <c r="AP70" s="121" t="s">
        <v>307</v>
      </c>
    </row>
    <row r="71" spans="1:42" ht="39.75" customHeight="1" x14ac:dyDescent="0.35">
      <c r="A71" s="159"/>
      <c r="B71" s="136" t="s">
        <v>200</v>
      </c>
      <c r="C71" s="121" t="s">
        <v>310</v>
      </c>
      <c r="D71" s="121" t="s">
        <v>307</v>
      </c>
      <c r="E71" s="121" t="s">
        <v>310</v>
      </c>
      <c r="F71" s="121" t="s">
        <v>307</v>
      </c>
      <c r="G71" s="121" t="s">
        <v>307</v>
      </c>
      <c r="H71" s="121" t="s">
        <v>310</v>
      </c>
      <c r="I71" s="121" t="s">
        <v>307</v>
      </c>
      <c r="J71" s="121" t="s">
        <v>307</v>
      </c>
      <c r="K71" s="121" t="s">
        <v>307</v>
      </c>
      <c r="L71" s="121" t="s">
        <v>307</v>
      </c>
      <c r="M71" s="121" t="s">
        <v>310</v>
      </c>
      <c r="N71" s="121" t="s">
        <v>307</v>
      </c>
      <c r="O71" s="121" t="s">
        <v>310</v>
      </c>
      <c r="P71" s="121" t="s">
        <v>310</v>
      </c>
      <c r="Q71" s="121" t="s">
        <v>310</v>
      </c>
      <c r="R71" s="121" t="s">
        <v>310</v>
      </c>
      <c r="S71" s="121" t="s">
        <v>310</v>
      </c>
      <c r="T71" s="121" t="s">
        <v>310</v>
      </c>
      <c r="U71" s="121" t="s">
        <v>307</v>
      </c>
      <c r="V71" s="121" t="s">
        <v>310</v>
      </c>
      <c r="W71" s="121" t="s">
        <v>307</v>
      </c>
      <c r="X71" s="121" t="s">
        <v>307</v>
      </c>
      <c r="Y71" s="121" t="s">
        <v>310</v>
      </c>
      <c r="Z71" s="121" t="s">
        <v>307</v>
      </c>
      <c r="AA71" s="121" t="s">
        <v>310</v>
      </c>
      <c r="AB71" s="121" t="s">
        <v>310</v>
      </c>
      <c r="AC71" s="121" t="s">
        <v>310</v>
      </c>
      <c r="AD71" s="121" t="s">
        <v>310</v>
      </c>
      <c r="AE71" s="121" t="s">
        <v>310</v>
      </c>
      <c r="AF71" s="121" t="s">
        <v>310</v>
      </c>
      <c r="AG71" s="121" t="s">
        <v>310</v>
      </c>
      <c r="AH71" s="121" t="s">
        <v>307</v>
      </c>
      <c r="AI71" s="121" t="s">
        <v>310</v>
      </c>
      <c r="AJ71" s="121" t="s">
        <v>310</v>
      </c>
      <c r="AK71" s="121" t="s">
        <v>310</v>
      </c>
      <c r="AL71" s="121" t="s">
        <v>310</v>
      </c>
      <c r="AM71" s="121" t="s">
        <v>310</v>
      </c>
      <c r="AN71" s="121" t="s">
        <v>310</v>
      </c>
      <c r="AO71" s="121" t="s">
        <v>307</v>
      </c>
      <c r="AP71" s="121" t="s">
        <v>307</v>
      </c>
    </row>
    <row r="72" spans="1:42" ht="39.75" customHeight="1" x14ac:dyDescent="0.35">
      <c r="A72" s="159"/>
      <c r="B72" s="136" t="s">
        <v>201</v>
      </c>
      <c r="C72" s="121" t="s">
        <v>310</v>
      </c>
      <c r="D72" s="121" t="s">
        <v>307</v>
      </c>
      <c r="E72" s="121" t="s">
        <v>307</v>
      </c>
      <c r="F72" s="121" t="s">
        <v>307</v>
      </c>
      <c r="G72" s="121" t="s">
        <v>307</v>
      </c>
      <c r="H72" s="121" t="s">
        <v>307</v>
      </c>
      <c r="I72" s="121" t="s">
        <v>307</v>
      </c>
      <c r="J72" s="121" t="s">
        <v>307</v>
      </c>
      <c r="K72" s="121" t="s">
        <v>307</v>
      </c>
      <c r="L72" s="121" t="s">
        <v>307</v>
      </c>
      <c r="M72" s="121" t="s">
        <v>307</v>
      </c>
      <c r="N72" s="121" t="s">
        <v>307</v>
      </c>
      <c r="O72" s="121" t="s">
        <v>307</v>
      </c>
      <c r="P72" s="121" t="s">
        <v>307</v>
      </c>
      <c r="Q72" s="121" t="s">
        <v>307</v>
      </c>
      <c r="R72" s="121" t="s">
        <v>307</v>
      </c>
      <c r="S72" s="121" t="s">
        <v>307</v>
      </c>
      <c r="T72" s="121" t="s">
        <v>307</v>
      </c>
      <c r="U72" s="121" t="s">
        <v>307</v>
      </c>
      <c r="V72" s="121" t="s">
        <v>307</v>
      </c>
      <c r="W72" s="121" t="s">
        <v>310</v>
      </c>
      <c r="X72" s="121" t="s">
        <v>307</v>
      </c>
      <c r="Y72" s="121" t="s">
        <v>307</v>
      </c>
      <c r="Z72" s="121" t="s">
        <v>307</v>
      </c>
      <c r="AA72" s="121" t="s">
        <v>310</v>
      </c>
      <c r="AB72" s="121" t="s">
        <v>310</v>
      </c>
      <c r="AC72" s="121" t="s">
        <v>307</v>
      </c>
      <c r="AD72" s="121" t="s">
        <v>307</v>
      </c>
      <c r="AE72" s="121" t="s">
        <v>307</v>
      </c>
      <c r="AF72" s="121" t="s">
        <v>307</v>
      </c>
      <c r="AG72" s="121" t="s">
        <v>307</v>
      </c>
      <c r="AH72" s="121" t="s">
        <v>307</v>
      </c>
      <c r="AI72" s="121" t="s">
        <v>310</v>
      </c>
      <c r="AJ72" s="121" t="s">
        <v>307</v>
      </c>
      <c r="AK72" s="121" t="s">
        <v>307</v>
      </c>
      <c r="AL72" s="121" t="s">
        <v>310</v>
      </c>
      <c r="AM72" s="121" t="s">
        <v>307</v>
      </c>
      <c r="AN72" s="121" t="s">
        <v>307</v>
      </c>
      <c r="AO72" s="121" t="s">
        <v>307</v>
      </c>
      <c r="AP72" s="121" t="s">
        <v>307</v>
      </c>
    </row>
    <row r="73" spans="1:42" ht="39.75" customHeight="1" x14ac:dyDescent="0.35">
      <c r="A73" s="159"/>
      <c r="B73" s="136" t="s">
        <v>202</v>
      </c>
      <c r="C73" s="121" t="s">
        <v>310</v>
      </c>
      <c r="D73" s="121" t="s">
        <v>310</v>
      </c>
      <c r="E73" s="121" t="s">
        <v>310</v>
      </c>
      <c r="F73" s="121" t="s">
        <v>310</v>
      </c>
      <c r="G73" s="121" t="s">
        <v>310</v>
      </c>
      <c r="H73" s="121" t="s">
        <v>310</v>
      </c>
      <c r="I73" s="121" t="s">
        <v>307</v>
      </c>
      <c r="J73" s="121" t="s">
        <v>307</v>
      </c>
      <c r="K73" s="121" t="s">
        <v>307</v>
      </c>
      <c r="L73" s="121" t="s">
        <v>310</v>
      </c>
      <c r="M73" s="121" t="s">
        <v>310</v>
      </c>
      <c r="N73" s="121" t="s">
        <v>307</v>
      </c>
      <c r="O73" s="121" t="s">
        <v>310</v>
      </c>
      <c r="P73" s="121" t="s">
        <v>310</v>
      </c>
      <c r="Q73" s="121" t="s">
        <v>310</v>
      </c>
      <c r="R73" s="121" t="s">
        <v>310</v>
      </c>
      <c r="S73" s="121" t="s">
        <v>310</v>
      </c>
      <c r="T73" s="121" t="s">
        <v>310</v>
      </c>
      <c r="U73" s="121" t="s">
        <v>310</v>
      </c>
      <c r="V73" s="121" t="s">
        <v>310</v>
      </c>
      <c r="W73" s="121" t="s">
        <v>307</v>
      </c>
      <c r="X73" s="121" t="s">
        <v>310</v>
      </c>
      <c r="Y73" s="121" t="s">
        <v>310</v>
      </c>
      <c r="Z73" s="121" t="s">
        <v>307</v>
      </c>
      <c r="AA73" s="121" t="s">
        <v>310</v>
      </c>
      <c r="AB73" s="121" t="s">
        <v>310</v>
      </c>
      <c r="AC73" s="121" t="s">
        <v>310</v>
      </c>
      <c r="AD73" s="121" t="s">
        <v>307</v>
      </c>
      <c r="AE73" s="121" t="s">
        <v>310</v>
      </c>
      <c r="AF73" s="121" t="s">
        <v>310</v>
      </c>
      <c r="AG73" s="121" t="s">
        <v>310</v>
      </c>
      <c r="AH73" s="121" t="s">
        <v>310</v>
      </c>
      <c r="AI73" s="121" t="s">
        <v>310</v>
      </c>
      <c r="AJ73" s="121" t="s">
        <v>310</v>
      </c>
      <c r="AK73" s="121" t="s">
        <v>310</v>
      </c>
      <c r="AL73" s="121" t="s">
        <v>310</v>
      </c>
      <c r="AM73" s="121" t="s">
        <v>310</v>
      </c>
      <c r="AN73" s="121" t="s">
        <v>310</v>
      </c>
      <c r="AO73" s="121" t="s">
        <v>307</v>
      </c>
      <c r="AP73" s="121" t="s">
        <v>307</v>
      </c>
    </row>
    <row r="74" spans="1:42" ht="39.75" customHeight="1" x14ac:dyDescent="0.35">
      <c r="A74" s="159"/>
      <c r="B74" s="136" t="s">
        <v>203</v>
      </c>
      <c r="C74" s="121" t="s">
        <v>310</v>
      </c>
      <c r="D74" s="121" t="s">
        <v>310</v>
      </c>
      <c r="E74" s="121" t="s">
        <v>307</v>
      </c>
      <c r="F74" s="121" t="s">
        <v>307</v>
      </c>
      <c r="G74" s="121" t="s">
        <v>307</v>
      </c>
      <c r="H74" s="121" t="s">
        <v>307</v>
      </c>
      <c r="I74" s="121" t="s">
        <v>307</v>
      </c>
      <c r="J74" s="121" t="s">
        <v>307</v>
      </c>
      <c r="K74" s="121" t="s">
        <v>307</v>
      </c>
      <c r="L74" s="121" t="s">
        <v>307</v>
      </c>
      <c r="M74" s="121" t="s">
        <v>307</v>
      </c>
      <c r="N74" s="121" t="s">
        <v>307</v>
      </c>
      <c r="O74" s="121" t="s">
        <v>307</v>
      </c>
      <c r="P74" s="121" t="s">
        <v>307</v>
      </c>
      <c r="Q74" s="121" t="s">
        <v>307</v>
      </c>
      <c r="R74" s="121" t="s">
        <v>307</v>
      </c>
      <c r="S74" s="121" t="s">
        <v>307</v>
      </c>
      <c r="T74" s="121" t="s">
        <v>307</v>
      </c>
      <c r="U74" s="121" t="s">
        <v>307</v>
      </c>
      <c r="V74" s="121" t="s">
        <v>307</v>
      </c>
      <c r="W74" s="121" t="s">
        <v>310</v>
      </c>
      <c r="X74" s="121" t="s">
        <v>307</v>
      </c>
      <c r="Y74" s="121" t="s">
        <v>307</v>
      </c>
      <c r="Z74" s="121" t="s">
        <v>307</v>
      </c>
      <c r="AA74" s="121" t="s">
        <v>307</v>
      </c>
      <c r="AB74" s="121" t="s">
        <v>307</v>
      </c>
      <c r="AC74" s="121" t="s">
        <v>307</v>
      </c>
      <c r="AD74" s="121" t="s">
        <v>310</v>
      </c>
      <c r="AE74" s="121" t="s">
        <v>310</v>
      </c>
      <c r="AF74" s="121" t="s">
        <v>307</v>
      </c>
      <c r="AG74" s="121" t="s">
        <v>307</v>
      </c>
      <c r="AH74" s="121" t="s">
        <v>307</v>
      </c>
      <c r="AI74" s="121" t="s">
        <v>307</v>
      </c>
      <c r="AJ74" s="121" t="s">
        <v>310</v>
      </c>
      <c r="AK74" s="121" t="s">
        <v>310</v>
      </c>
      <c r="AL74" s="121" t="s">
        <v>307</v>
      </c>
      <c r="AM74" s="121" t="s">
        <v>310</v>
      </c>
      <c r="AN74" s="121" t="s">
        <v>310</v>
      </c>
      <c r="AO74" s="121" t="s">
        <v>307</v>
      </c>
      <c r="AP74" s="121" t="s">
        <v>307</v>
      </c>
    </row>
    <row r="75" spans="1:42" ht="39.75" customHeight="1" x14ac:dyDescent="0.35">
      <c r="A75" s="159"/>
      <c r="B75" s="136" t="s">
        <v>204</v>
      </c>
      <c r="C75" s="121" t="s">
        <v>307</v>
      </c>
      <c r="D75" s="121" t="s">
        <v>307</v>
      </c>
      <c r="E75" s="121" t="s">
        <v>310</v>
      </c>
      <c r="F75" s="121" t="s">
        <v>310</v>
      </c>
      <c r="G75" s="121" t="s">
        <v>310</v>
      </c>
      <c r="H75" s="121" t="s">
        <v>307</v>
      </c>
      <c r="I75" s="121" t="s">
        <v>310</v>
      </c>
      <c r="J75" s="121" t="s">
        <v>310</v>
      </c>
      <c r="K75" s="121" t="s">
        <v>310</v>
      </c>
      <c r="L75" s="121" t="s">
        <v>310</v>
      </c>
      <c r="M75" s="121" t="s">
        <v>310</v>
      </c>
      <c r="N75" s="121" t="s">
        <v>310</v>
      </c>
      <c r="O75" s="121" t="s">
        <v>310</v>
      </c>
      <c r="P75" s="121" t="s">
        <v>310</v>
      </c>
      <c r="Q75" s="121" t="s">
        <v>310</v>
      </c>
      <c r="R75" s="121" t="s">
        <v>310</v>
      </c>
      <c r="S75" s="121" t="s">
        <v>310</v>
      </c>
      <c r="T75" s="121" t="s">
        <v>310</v>
      </c>
      <c r="U75" s="121" t="s">
        <v>310</v>
      </c>
      <c r="V75" s="121" t="s">
        <v>310</v>
      </c>
      <c r="W75" s="121" t="s">
        <v>307</v>
      </c>
      <c r="X75" s="121" t="s">
        <v>310</v>
      </c>
      <c r="Y75" s="121" t="s">
        <v>310</v>
      </c>
      <c r="Z75" s="121" t="s">
        <v>307</v>
      </c>
      <c r="AA75" s="121" t="s">
        <v>310</v>
      </c>
      <c r="AB75" s="121" t="s">
        <v>310</v>
      </c>
      <c r="AC75" s="121" t="s">
        <v>310</v>
      </c>
      <c r="AD75" s="121" t="s">
        <v>310</v>
      </c>
      <c r="AE75" s="121" t="s">
        <v>307</v>
      </c>
      <c r="AF75" s="121" t="s">
        <v>310</v>
      </c>
      <c r="AG75" s="121" t="s">
        <v>310</v>
      </c>
      <c r="AH75" s="121" t="s">
        <v>310</v>
      </c>
      <c r="AI75" s="121" t="s">
        <v>310</v>
      </c>
      <c r="AJ75" s="121" t="s">
        <v>310</v>
      </c>
      <c r="AK75" s="121" t="s">
        <v>310</v>
      </c>
      <c r="AL75" s="121" t="s">
        <v>310</v>
      </c>
      <c r="AM75" s="121" t="s">
        <v>310</v>
      </c>
      <c r="AN75" s="121" t="s">
        <v>310</v>
      </c>
      <c r="AO75" s="121" t="s">
        <v>307</v>
      </c>
      <c r="AP75" s="121" t="s">
        <v>307</v>
      </c>
    </row>
    <row r="76" spans="1:42" ht="120" x14ac:dyDescent="0.35">
      <c r="A76" s="159"/>
      <c r="B76" s="17" t="s">
        <v>205</v>
      </c>
      <c r="C76" s="133" t="s">
        <v>544</v>
      </c>
      <c r="D76" s="133" t="s">
        <v>545</v>
      </c>
      <c r="E76" s="133" t="s">
        <v>317</v>
      </c>
      <c r="F76" s="133" t="s">
        <v>546</v>
      </c>
      <c r="G76" s="133" t="s">
        <v>322</v>
      </c>
      <c r="H76" s="133" t="s">
        <v>547</v>
      </c>
      <c r="I76" s="133" t="s">
        <v>548</v>
      </c>
      <c r="J76" s="133" t="s">
        <v>549</v>
      </c>
      <c r="K76" s="133" t="s">
        <v>326</v>
      </c>
      <c r="L76" s="133" t="s">
        <v>326</v>
      </c>
      <c r="M76" s="133" t="s">
        <v>550</v>
      </c>
      <c r="N76" s="133" t="s">
        <v>551</v>
      </c>
      <c r="O76" s="133" t="s">
        <v>326</v>
      </c>
      <c r="P76" s="133" t="s">
        <v>326</v>
      </c>
      <c r="Q76" s="133" t="s">
        <v>355</v>
      </c>
      <c r="R76" s="133" t="s">
        <v>355</v>
      </c>
      <c r="S76" s="133" t="s">
        <v>355</v>
      </c>
      <c r="T76" s="133" t="s">
        <v>355</v>
      </c>
      <c r="U76" s="133" t="s">
        <v>356</v>
      </c>
      <c r="V76" s="133" t="s">
        <v>326</v>
      </c>
      <c r="W76" s="133" t="s">
        <v>406</v>
      </c>
      <c r="X76" s="133" t="s">
        <v>326</v>
      </c>
      <c r="Y76" s="133" t="s">
        <v>407</v>
      </c>
      <c r="Z76" s="133" t="s">
        <v>408</v>
      </c>
      <c r="AA76" s="133" t="s">
        <v>409</v>
      </c>
      <c r="AB76" s="133" t="s">
        <v>410</v>
      </c>
      <c r="AC76" s="133" t="s">
        <v>410</v>
      </c>
      <c r="AD76" s="133" t="s">
        <v>409</v>
      </c>
      <c r="AE76" s="133" t="s">
        <v>411</v>
      </c>
      <c r="AF76" s="133" t="s">
        <v>412</v>
      </c>
      <c r="AG76" s="133" t="s">
        <v>413</v>
      </c>
      <c r="AH76" s="133" t="s">
        <v>412</v>
      </c>
      <c r="AI76" s="133" t="s">
        <v>414</v>
      </c>
      <c r="AJ76" s="133" t="s">
        <v>415</v>
      </c>
      <c r="AK76" s="133" t="s">
        <v>412</v>
      </c>
      <c r="AL76" s="133" t="s">
        <v>414</v>
      </c>
      <c r="AM76" s="133" t="s">
        <v>416</v>
      </c>
      <c r="AN76" s="133" t="s">
        <v>417</v>
      </c>
      <c r="AO76" s="133" t="s">
        <v>418</v>
      </c>
      <c r="AP76" s="133" t="s">
        <v>419</v>
      </c>
    </row>
    <row r="77" spans="1:42" x14ac:dyDescent="0.35">
      <c r="A77" s="4"/>
      <c r="B77" s="5"/>
      <c r="W77" s="134"/>
      <c r="X77" s="134"/>
      <c r="Y77" s="134"/>
      <c r="Z77" s="134"/>
      <c r="AA77" s="134"/>
      <c r="AB77" s="134"/>
      <c r="AC77" s="134"/>
      <c r="AD77" s="134"/>
      <c r="AE77" s="134"/>
      <c r="AF77" s="134"/>
      <c r="AG77" s="134"/>
      <c r="AH77" s="134"/>
      <c r="AI77" s="134"/>
      <c r="AJ77" s="134"/>
      <c r="AK77" s="134"/>
      <c r="AL77" s="134"/>
      <c r="AM77" s="134"/>
      <c r="AN77" s="134"/>
      <c r="AO77" s="134"/>
      <c r="AP77" s="134"/>
    </row>
    <row r="78" spans="1:42" ht="135" x14ac:dyDescent="0.35">
      <c r="A78" s="160" t="s">
        <v>64</v>
      </c>
      <c r="B78" s="17" t="s">
        <v>206</v>
      </c>
      <c r="C78" s="133" t="s">
        <v>312</v>
      </c>
      <c r="D78" s="133" t="s">
        <v>351</v>
      </c>
      <c r="E78" s="133" t="s">
        <v>318</v>
      </c>
      <c r="F78" s="133" t="s">
        <v>321</v>
      </c>
      <c r="G78" s="133" t="s">
        <v>321</v>
      </c>
      <c r="H78" s="133" t="s">
        <v>323</v>
      </c>
      <c r="I78" s="133" t="s">
        <v>325</v>
      </c>
      <c r="J78" s="133" t="s">
        <v>327</v>
      </c>
      <c r="K78" s="133" t="s">
        <v>331</v>
      </c>
      <c r="L78" s="133" t="s">
        <v>332</v>
      </c>
      <c r="M78" s="133" t="s">
        <v>333</v>
      </c>
      <c r="N78" s="133" t="s">
        <v>336</v>
      </c>
      <c r="O78" s="133" t="s">
        <v>352</v>
      </c>
      <c r="P78" s="133" t="s">
        <v>552</v>
      </c>
      <c r="Q78" s="133" t="s">
        <v>553</v>
      </c>
      <c r="R78" s="133" t="s">
        <v>554</v>
      </c>
      <c r="S78" s="133" t="s">
        <v>555</v>
      </c>
      <c r="T78" s="133" t="s">
        <v>556</v>
      </c>
      <c r="U78" s="133" t="s">
        <v>353</v>
      </c>
      <c r="V78" s="133" t="s">
        <v>354</v>
      </c>
      <c r="W78" s="133" t="s">
        <v>420</v>
      </c>
      <c r="X78" s="133" t="s">
        <v>421</v>
      </c>
      <c r="Y78" s="133" t="s">
        <v>422</v>
      </c>
      <c r="Z78" s="133" t="s">
        <v>423</v>
      </c>
      <c r="AA78" s="133" t="s">
        <v>424</v>
      </c>
      <c r="AB78" s="133" t="s">
        <v>425</v>
      </c>
      <c r="AC78" s="133" t="s">
        <v>557</v>
      </c>
      <c r="AD78" s="133" t="s">
        <v>426</v>
      </c>
      <c r="AE78" s="133" t="s">
        <v>558</v>
      </c>
      <c r="AF78" s="133" t="s">
        <v>559</v>
      </c>
      <c r="AG78" s="133" t="s">
        <v>427</v>
      </c>
      <c r="AH78" s="133" t="s">
        <v>428</v>
      </c>
      <c r="AI78" s="133" t="s">
        <v>429</v>
      </c>
      <c r="AJ78" s="133" t="s">
        <v>430</v>
      </c>
      <c r="AK78" s="133" t="s">
        <v>431</v>
      </c>
      <c r="AL78" s="133" t="s">
        <v>560</v>
      </c>
      <c r="AM78" s="133" t="s">
        <v>432</v>
      </c>
      <c r="AN78" s="133" t="s">
        <v>561</v>
      </c>
      <c r="AO78" s="133" t="s">
        <v>433</v>
      </c>
      <c r="AP78" s="133" t="s">
        <v>562</v>
      </c>
    </row>
    <row r="79" spans="1:42" ht="36" customHeight="1" x14ac:dyDescent="0.35">
      <c r="A79" s="160"/>
      <c r="B79" s="17" t="s">
        <v>207</v>
      </c>
      <c r="C79" s="121" t="s">
        <v>313</v>
      </c>
      <c r="D79" s="121" t="s">
        <v>313</v>
      </c>
      <c r="E79" s="121" t="s">
        <v>313</v>
      </c>
      <c r="F79" s="121" t="s">
        <v>313</v>
      </c>
      <c r="G79" s="121" t="s">
        <v>313</v>
      </c>
      <c r="H79" s="121" t="s">
        <v>313</v>
      </c>
      <c r="I79" s="121" t="s">
        <v>313</v>
      </c>
      <c r="J79" s="121" t="s">
        <v>313</v>
      </c>
      <c r="K79" s="121" t="s">
        <v>313</v>
      </c>
      <c r="L79" s="121" t="s">
        <v>313</v>
      </c>
      <c r="M79" s="121" t="s">
        <v>313</v>
      </c>
      <c r="N79" s="121" t="s">
        <v>313</v>
      </c>
      <c r="O79" s="121" t="s">
        <v>313</v>
      </c>
      <c r="P79" s="121" t="s">
        <v>313</v>
      </c>
      <c r="Q79" s="121" t="s">
        <v>313</v>
      </c>
      <c r="R79" s="121" t="s">
        <v>313</v>
      </c>
      <c r="S79" s="121" t="s">
        <v>313</v>
      </c>
      <c r="T79" s="121" t="s">
        <v>313</v>
      </c>
      <c r="U79" s="121" t="s">
        <v>313</v>
      </c>
      <c r="V79" s="121" t="s">
        <v>313</v>
      </c>
      <c r="W79" s="121" t="s">
        <v>313</v>
      </c>
      <c r="X79" s="121" t="s">
        <v>313</v>
      </c>
      <c r="Y79" s="121" t="s">
        <v>313</v>
      </c>
      <c r="Z79" s="121" t="s">
        <v>313</v>
      </c>
      <c r="AA79" s="121" t="s">
        <v>313</v>
      </c>
      <c r="AB79" s="121" t="s">
        <v>313</v>
      </c>
      <c r="AC79" s="121" t="s">
        <v>313</v>
      </c>
      <c r="AD79" s="121" t="s">
        <v>313</v>
      </c>
      <c r="AE79" s="121" t="s">
        <v>313</v>
      </c>
      <c r="AF79" s="121" t="s">
        <v>313</v>
      </c>
      <c r="AG79" s="121" t="s">
        <v>313</v>
      </c>
      <c r="AH79" s="121" t="s">
        <v>313</v>
      </c>
      <c r="AI79" s="121" t="s">
        <v>313</v>
      </c>
      <c r="AJ79" s="121" t="s">
        <v>313</v>
      </c>
      <c r="AK79" s="121" t="s">
        <v>313</v>
      </c>
      <c r="AL79" s="121" t="s">
        <v>313</v>
      </c>
      <c r="AM79" s="121" t="s">
        <v>313</v>
      </c>
      <c r="AN79" s="121" t="s">
        <v>313</v>
      </c>
      <c r="AO79" s="121" t="s">
        <v>313</v>
      </c>
      <c r="AP79" s="121" t="s">
        <v>313</v>
      </c>
    </row>
    <row r="80" spans="1:42" ht="36" customHeight="1" x14ac:dyDescent="0.35">
      <c r="A80" s="160"/>
      <c r="B80" s="17" t="s">
        <v>208</v>
      </c>
      <c r="C80" s="122">
        <v>30</v>
      </c>
      <c r="D80" s="122">
        <v>10</v>
      </c>
      <c r="E80" s="122">
        <v>30</v>
      </c>
      <c r="F80" s="122">
        <v>10</v>
      </c>
      <c r="G80" s="122">
        <v>5</v>
      </c>
      <c r="H80" s="122">
        <v>5</v>
      </c>
      <c r="I80" s="122">
        <v>10</v>
      </c>
      <c r="J80" s="121" t="s">
        <v>328</v>
      </c>
      <c r="K80" s="122">
        <v>30</v>
      </c>
      <c r="L80" s="122">
        <v>5</v>
      </c>
      <c r="M80" s="122">
        <v>30</v>
      </c>
      <c r="N80" s="122">
        <v>5</v>
      </c>
      <c r="O80" s="122">
        <v>5</v>
      </c>
      <c r="P80" s="122" t="str">
        <f>$J$80</f>
        <v xml:space="preserve">Hardly any days </v>
      </c>
      <c r="Q80" s="122" t="str">
        <f>$J$80</f>
        <v xml:space="preserve">Hardly any days </v>
      </c>
      <c r="R80" s="122" t="str">
        <f>$J$80</f>
        <v xml:space="preserve">Hardly any days </v>
      </c>
      <c r="S80" s="122">
        <v>15</v>
      </c>
      <c r="T80" s="122">
        <v>75</v>
      </c>
      <c r="U80" s="122">
        <v>30</v>
      </c>
      <c r="V80" s="122">
        <v>30</v>
      </c>
      <c r="W80" s="121" t="str">
        <f>$J$80</f>
        <v xml:space="preserve">Hardly any days </v>
      </c>
      <c r="X80" s="121" t="str">
        <f>$J$80</f>
        <v xml:space="preserve">Hardly any days </v>
      </c>
      <c r="Y80" s="121" t="str">
        <f>$J$80</f>
        <v xml:space="preserve">Hardly any days </v>
      </c>
      <c r="Z80" s="121">
        <v>7</v>
      </c>
      <c r="AA80" s="121" t="str">
        <f>$J$80</f>
        <v xml:space="preserve">Hardly any days </v>
      </c>
      <c r="AB80" s="121" t="str">
        <f>$J$80</f>
        <v xml:space="preserve">Hardly any days </v>
      </c>
      <c r="AC80" s="121" t="str">
        <f>$J$80</f>
        <v xml:space="preserve">Hardly any days </v>
      </c>
      <c r="AD80" s="121">
        <v>5</v>
      </c>
      <c r="AE80" s="121" t="str">
        <f t="shared" ref="AE80:AO80" si="1">$J$80</f>
        <v xml:space="preserve">Hardly any days </v>
      </c>
      <c r="AF80" s="121" t="str">
        <f t="shared" si="1"/>
        <v xml:space="preserve">Hardly any days </v>
      </c>
      <c r="AG80" s="121" t="str">
        <f t="shared" si="1"/>
        <v xml:space="preserve">Hardly any days </v>
      </c>
      <c r="AH80" s="121" t="str">
        <f t="shared" si="1"/>
        <v xml:space="preserve">Hardly any days </v>
      </c>
      <c r="AI80" s="121" t="str">
        <f t="shared" si="1"/>
        <v xml:space="preserve">Hardly any days </v>
      </c>
      <c r="AJ80" s="121" t="str">
        <f t="shared" si="1"/>
        <v xml:space="preserve">Hardly any days </v>
      </c>
      <c r="AK80" s="121" t="str">
        <f t="shared" si="1"/>
        <v xml:space="preserve">Hardly any days </v>
      </c>
      <c r="AL80" s="121" t="str">
        <f t="shared" si="1"/>
        <v xml:space="preserve">Hardly any days </v>
      </c>
      <c r="AM80" s="121" t="str">
        <f t="shared" si="1"/>
        <v xml:space="preserve">Hardly any days </v>
      </c>
      <c r="AN80" s="121" t="str">
        <f t="shared" si="1"/>
        <v xml:space="preserve">Hardly any days </v>
      </c>
      <c r="AO80" s="121" t="str">
        <f t="shared" si="1"/>
        <v xml:space="preserve">Hardly any days </v>
      </c>
      <c r="AP80" s="121">
        <v>10</v>
      </c>
    </row>
    <row r="81" spans="1:42" x14ac:dyDescent="0.35">
      <c r="A81" s="160"/>
      <c r="B81" s="17" t="s">
        <v>209</v>
      </c>
      <c r="C81" s="121" t="s">
        <v>313</v>
      </c>
      <c r="D81" s="121" t="s">
        <v>313</v>
      </c>
      <c r="E81" s="121" t="s">
        <v>313</v>
      </c>
      <c r="F81" s="121" t="s">
        <v>313</v>
      </c>
      <c r="G81" s="121" t="s">
        <v>313</v>
      </c>
      <c r="H81" s="121" t="s">
        <v>313</v>
      </c>
      <c r="I81" s="121" t="s">
        <v>313</v>
      </c>
      <c r="J81" s="121" t="s">
        <v>313</v>
      </c>
      <c r="K81" s="121" t="s">
        <v>307</v>
      </c>
      <c r="L81" s="121" t="s">
        <v>313</v>
      </c>
      <c r="M81" s="121" t="s">
        <v>307</v>
      </c>
      <c r="N81" s="121" t="s">
        <v>313</v>
      </c>
      <c r="O81" s="121" t="s">
        <v>313</v>
      </c>
      <c r="P81" s="121" t="s">
        <v>313</v>
      </c>
      <c r="Q81" s="121" t="s">
        <v>313</v>
      </c>
      <c r="R81" s="121" t="s">
        <v>313</v>
      </c>
      <c r="S81" s="121" t="s">
        <v>313</v>
      </c>
      <c r="T81" s="121" t="s">
        <v>307</v>
      </c>
      <c r="U81" s="121" t="s">
        <v>307</v>
      </c>
      <c r="V81" s="121" t="s">
        <v>307</v>
      </c>
      <c r="W81" s="121" t="s">
        <v>313</v>
      </c>
      <c r="X81" s="121" t="s">
        <v>313</v>
      </c>
      <c r="Y81" s="121" t="s">
        <v>313</v>
      </c>
      <c r="Z81" s="121" t="s">
        <v>313</v>
      </c>
      <c r="AA81" s="121" t="s">
        <v>313</v>
      </c>
      <c r="AB81" s="121" t="s">
        <v>313</v>
      </c>
      <c r="AC81" s="121" t="s">
        <v>313</v>
      </c>
      <c r="AD81" s="121" t="s">
        <v>313</v>
      </c>
      <c r="AE81" s="121" t="s">
        <v>313</v>
      </c>
      <c r="AF81" s="121" t="s">
        <v>313</v>
      </c>
      <c r="AG81" s="121" t="s">
        <v>313</v>
      </c>
      <c r="AH81" s="121" t="s">
        <v>313</v>
      </c>
      <c r="AI81" s="121" t="s">
        <v>313</v>
      </c>
      <c r="AJ81" s="121" t="s">
        <v>313</v>
      </c>
      <c r="AK81" s="121" t="s">
        <v>313</v>
      </c>
      <c r="AL81" s="121" t="s">
        <v>313</v>
      </c>
      <c r="AM81" s="121" t="s">
        <v>313</v>
      </c>
      <c r="AN81" s="121" t="s">
        <v>313</v>
      </c>
      <c r="AO81" s="121" t="s">
        <v>313</v>
      </c>
      <c r="AP81" s="121" t="s">
        <v>313</v>
      </c>
    </row>
    <row r="82" spans="1:42" ht="92" customHeight="1" x14ac:dyDescent="0.35">
      <c r="A82" s="160"/>
      <c r="B82" s="17" t="s">
        <v>210</v>
      </c>
      <c r="C82" s="133" t="s">
        <v>581</v>
      </c>
      <c r="D82" s="133" t="s">
        <v>581</v>
      </c>
      <c r="E82" s="133" t="s">
        <v>563</v>
      </c>
      <c r="F82" s="133" t="s">
        <v>582</v>
      </c>
      <c r="G82" s="133" t="s">
        <v>583</v>
      </c>
      <c r="H82" s="133" t="s">
        <v>324</v>
      </c>
      <c r="I82" s="133" t="s">
        <v>584</v>
      </c>
      <c r="J82" s="133" t="s">
        <v>335</v>
      </c>
      <c r="K82" s="133" t="s">
        <v>564</v>
      </c>
      <c r="L82" s="133" t="s">
        <v>565</v>
      </c>
      <c r="M82" s="133" t="s">
        <v>566</v>
      </c>
      <c r="N82" s="133" t="s">
        <v>350</v>
      </c>
      <c r="O82" s="133" t="s">
        <v>567</v>
      </c>
      <c r="P82" s="133" t="s">
        <v>568</v>
      </c>
      <c r="Q82" s="133" t="s">
        <v>569</v>
      </c>
      <c r="R82" s="133" t="s">
        <v>570</v>
      </c>
      <c r="S82" s="133" t="s">
        <v>571</v>
      </c>
      <c r="T82" s="133" t="s">
        <v>572</v>
      </c>
      <c r="U82" s="133" t="s">
        <v>343</v>
      </c>
      <c r="V82" s="133" t="s">
        <v>345</v>
      </c>
      <c r="W82" s="133" t="s">
        <v>434</v>
      </c>
      <c r="X82" s="133" t="s">
        <v>435</v>
      </c>
      <c r="Y82" s="133" t="s">
        <v>436</v>
      </c>
      <c r="Z82" s="133" t="s">
        <v>437</v>
      </c>
      <c r="AA82" s="133" t="s">
        <v>438</v>
      </c>
      <c r="AB82" s="133" t="s">
        <v>439</v>
      </c>
      <c r="AC82" s="133" t="s">
        <v>573</v>
      </c>
      <c r="AD82" s="133" t="s">
        <v>574</v>
      </c>
      <c r="AE82" s="133" t="s">
        <v>440</v>
      </c>
      <c r="AF82" s="133" t="s">
        <v>576</v>
      </c>
      <c r="AG82" s="133" t="s">
        <v>577</v>
      </c>
      <c r="AH82" s="133" t="s">
        <v>575</v>
      </c>
      <c r="AI82" s="133" t="s">
        <v>441</v>
      </c>
      <c r="AJ82" s="133" t="s">
        <v>578</v>
      </c>
      <c r="AK82" s="133" t="s">
        <v>442</v>
      </c>
      <c r="AL82" s="133" t="s">
        <v>443</v>
      </c>
      <c r="AM82" s="133" t="s">
        <v>579</v>
      </c>
      <c r="AN82" s="133" t="s">
        <v>444</v>
      </c>
      <c r="AO82" s="133" t="s">
        <v>445</v>
      </c>
      <c r="AP82" s="133" t="s">
        <v>580</v>
      </c>
    </row>
    <row r="83" spans="1:42" ht="136.5" customHeight="1" x14ac:dyDescent="0.35">
      <c r="A83" s="160"/>
      <c r="B83" s="17" t="s">
        <v>211</v>
      </c>
      <c r="C83" s="133" t="s">
        <v>585</v>
      </c>
      <c r="D83" s="133" t="s">
        <v>346</v>
      </c>
      <c r="E83" s="133" t="s">
        <v>586</v>
      </c>
      <c r="F83" s="133" t="s">
        <v>587</v>
      </c>
      <c r="G83" s="133" t="s">
        <v>588</v>
      </c>
      <c r="H83" s="133" t="s">
        <v>589</v>
      </c>
      <c r="I83" s="133" t="s">
        <v>590</v>
      </c>
      <c r="J83" s="133" t="s">
        <v>591</v>
      </c>
      <c r="K83" s="133" t="s">
        <v>592</v>
      </c>
      <c r="L83" s="133" t="s">
        <v>593</v>
      </c>
      <c r="M83" s="133" t="s">
        <v>334</v>
      </c>
      <c r="N83" s="133" t="s">
        <v>594</v>
      </c>
      <c r="O83" s="133" t="s">
        <v>347</v>
      </c>
      <c r="P83" s="133" t="s">
        <v>334</v>
      </c>
      <c r="Q83" s="133" t="s">
        <v>595</v>
      </c>
      <c r="R83" s="133" t="s">
        <v>347</v>
      </c>
      <c r="S83" s="133" t="s">
        <v>348</v>
      </c>
      <c r="T83" s="133" t="s">
        <v>334</v>
      </c>
      <c r="U83" s="133" t="s">
        <v>344</v>
      </c>
      <c r="V83" s="133" t="s">
        <v>349</v>
      </c>
      <c r="W83" s="133" t="s">
        <v>446</v>
      </c>
      <c r="X83" s="133" t="s">
        <v>596</v>
      </c>
      <c r="Y83" s="133" t="s">
        <v>447</v>
      </c>
      <c r="Z83" s="133" t="s">
        <v>448</v>
      </c>
      <c r="AA83" s="133" t="s">
        <v>449</v>
      </c>
      <c r="AB83" s="133" t="s">
        <v>450</v>
      </c>
      <c r="AC83" s="133" t="s">
        <v>451</v>
      </c>
      <c r="AD83" s="133" t="s">
        <v>452</v>
      </c>
      <c r="AE83" s="133" t="s">
        <v>453</v>
      </c>
      <c r="AF83" s="133" t="s">
        <v>454</v>
      </c>
      <c r="AG83" s="133" t="s">
        <v>455</v>
      </c>
      <c r="AH83" s="133" t="s">
        <v>456</v>
      </c>
      <c r="AI83" s="133" t="s">
        <v>457</v>
      </c>
      <c r="AJ83" s="133" t="s">
        <v>458</v>
      </c>
      <c r="AK83" s="133" t="s">
        <v>459</v>
      </c>
      <c r="AL83" s="133" t="s">
        <v>460</v>
      </c>
      <c r="AM83" s="133" t="s">
        <v>461</v>
      </c>
      <c r="AN83" s="133" t="s">
        <v>462</v>
      </c>
      <c r="AO83" s="133" t="s">
        <v>463</v>
      </c>
      <c r="AP83" s="133" t="s">
        <v>464</v>
      </c>
    </row>
  </sheetData>
  <mergeCells count="7">
    <mergeCell ref="A2:G7"/>
    <mergeCell ref="A57:A76"/>
    <mergeCell ref="A78:A83"/>
    <mergeCell ref="A10:A14"/>
    <mergeCell ref="A16:A21"/>
    <mergeCell ref="A23:A51"/>
    <mergeCell ref="A53:A55"/>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L220"/>
  <sheetViews>
    <sheetView showGridLines="0" tabSelected="1" topLeftCell="D128" zoomScale="62" zoomScaleNormal="144" workbookViewId="0">
      <selection activeCell="F137" sqref="F137"/>
    </sheetView>
  </sheetViews>
  <sheetFormatPr defaultColWidth="9.1796875" defaultRowHeight="14" x14ac:dyDescent="0.35"/>
  <cols>
    <col min="1" max="1" width="4.81640625" style="1" customWidth="1"/>
    <col min="2" max="2" width="33.453125" style="1" customWidth="1"/>
    <col min="3" max="3" width="25.1796875" style="89" customWidth="1"/>
    <col min="4" max="4" width="128.453125" style="1" customWidth="1"/>
    <col min="5" max="5" width="45.1796875" style="1" customWidth="1"/>
    <col min="6" max="6" width="35.453125" style="1" customWidth="1"/>
    <col min="7" max="7" width="40.453125" style="1" customWidth="1"/>
    <col min="8" max="8" width="33.453125" style="1" customWidth="1"/>
    <col min="9" max="9" width="41.1796875" style="1" customWidth="1"/>
    <col min="10" max="12" width="31.453125" style="1" customWidth="1"/>
    <col min="13" max="13" width="30.1796875" style="1" customWidth="1"/>
    <col min="14" max="16384" width="9.1796875" style="1"/>
  </cols>
  <sheetData>
    <row r="1" spans="1:11" ht="15" x14ac:dyDescent="0.35">
      <c r="B1" s="18" t="s">
        <v>65</v>
      </c>
      <c r="C1" s="77"/>
      <c r="D1" s="18"/>
      <c r="E1" s="18"/>
      <c r="F1" s="18"/>
      <c r="G1" s="18"/>
    </row>
    <row r="2" spans="1:11" ht="15" x14ac:dyDescent="0.35">
      <c r="B2" s="19" t="s">
        <v>78</v>
      </c>
      <c r="C2" s="78"/>
      <c r="D2" s="18"/>
      <c r="E2" s="18"/>
      <c r="F2" s="18"/>
      <c r="G2" s="18"/>
    </row>
    <row r="3" spans="1:11" ht="15" x14ac:dyDescent="0.35">
      <c r="B3" s="19" t="s">
        <v>106</v>
      </c>
      <c r="C3" s="78"/>
      <c r="D3" s="18"/>
      <c r="E3" s="18"/>
      <c r="F3" s="18"/>
      <c r="G3" s="18"/>
    </row>
    <row r="4" spans="1:11" ht="15" x14ac:dyDescent="0.35">
      <c r="B4" s="99" t="s">
        <v>254</v>
      </c>
      <c r="C4" s="78"/>
      <c r="D4" s="18"/>
      <c r="E4" s="18"/>
      <c r="F4" s="18"/>
      <c r="G4" s="18"/>
    </row>
    <row r="5" spans="1:11" ht="15" x14ac:dyDescent="0.35">
      <c r="B5" s="99" t="s">
        <v>255</v>
      </c>
      <c r="C5" s="78"/>
      <c r="D5" s="18"/>
      <c r="E5" s="18"/>
      <c r="F5" s="18"/>
      <c r="G5" s="18"/>
    </row>
    <row r="6" spans="1:11" ht="15" x14ac:dyDescent="0.35">
      <c r="B6" s="99" t="s">
        <v>256</v>
      </c>
      <c r="C6" s="78"/>
      <c r="D6" s="18"/>
      <c r="E6" s="18"/>
      <c r="F6" s="18"/>
      <c r="G6" s="18"/>
    </row>
    <row r="7" spans="1:11" ht="15" x14ac:dyDescent="0.35">
      <c r="B7" s="19" t="s">
        <v>107</v>
      </c>
      <c r="C7" s="78"/>
      <c r="D7" s="18"/>
      <c r="E7" s="18"/>
      <c r="F7" s="18"/>
      <c r="G7" s="18"/>
    </row>
    <row r="8" spans="1:11" ht="15" x14ac:dyDescent="0.35">
      <c r="B8" s="19" t="s">
        <v>79</v>
      </c>
      <c r="C8" s="78"/>
      <c r="D8" s="18"/>
      <c r="E8" s="18"/>
      <c r="F8" s="18"/>
      <c r="G8" s="18"/>
    </row>
    <row r="9" spans="1:11" x14ac:dyDescent="0.35">
      <c r="B9" s="47"/>
      <c r="C9" s="79"/>
      <c r="D9" s="47"/>
      <c r="E9" s="47"/>
      <c r="F9" s="47"/>
      <c r="G9" s="47"/>
    </row>
    <row r="10" spans="1:11" ht="15" x14ac:dyDescent="0.35">
      <c r="B10" s="100" t="s">
        <v>274</v>
      </c>
      <c r="C10" s="80"/>
      <c r="D10" s="53"/>
    </row>
    <row r="11" spans="1:11" customFormat="1" ht="14.5" x14ac:dyDescent="0.35"/>
    <row r="12" spans="1:11" ht="15" x14ac:dyDescent="0.35">
      <c r="B12" s="101" t="s">
        <v>89</v>
      </c>
      <c r="C12" s="81"/>
      <c r="D12" s="54"/>
    </row>
    <row r="13" spans="1:11" ht="14.5" thickBot="1" x14ac:dyDescent="0.4">
      <c r="A13" s="23"/>
      <c r="B13" s="23"/>
      <c r="C13" s="82"/>
      <c r="D13" s="34"/>
      <c r="E13" s="34"/>
      <c r="F13" s="34"/>
      <c r="G13" s="34"/>
      <c r="H13" s="34"/>
      <c r="I13" s="34"/>
      <c r="J13" s="34"/>
      <c r="K13" s="34"/>
    </row>
    <row r="14" spans="1:11" x14ac:dyDescent="0.35">
      <c r="A14" s="22"/>
      <c r="B14" s="22"/>
      <c r="C14" s="83"/>
    </row>
    <row r="15" spans="1:11" ht="25" x14ac:dyDescent="0.35">
      <c r="B15" s="55" t="s">
        <v>253</v>
      </c>
      <c r="C15" s="84"/>
      <c r="D15" s="56"/>
      <c r="E15" s="56"/>
      <c r="F15" s="56"/>
      <c r="G15" s="56"/>
      <c r="H15" s="56"/>
      <c r="I15" s="57"/>
    </row>
    <row r="16" spans="1:11" s="14" customFormat="1" ht="32.25" customHeight="1" x14ac:dyDescent="0.35">
      <c r="B16" s="46" t="s">
        <v>264</v>
      </c>
      <c r="C16" s="85"/>
      <c r="D16" s="46"/>
      <c r="E16" s="46"/>
      <c r="F16" s="46"/>
      <c r="G16" s="46"/>
      <c r="H16" s="46"/>
      <c r="I16" s="46"/>
    </row>
    <row r="17" spans="2:30" s="14" customFormat="1" ht="15.5" customHeight="1" x14ac:dyDescent="0.35">
      <c r="B17" s="58"/>
      <c r="C17" s="86"/>
      <c r="D17" s="59"/>
      <c r="E17" s="59"/>
      <c r="F17" s="59"/>
      <c r="G17" s="59"/>
    </row>
    <row r="18" spans="2:30" ht="22.25" customHeight="1" x14ac:dyDescent="0.35">
      <c r="B18" s="98" t="s">
        <v>103</v>
      </c>
      <c r="C18" s="98" t="s">
        <v>212</v>
      </c>
      <c r="D18" s="98" t="s">
        <v>250</v>
      </c>
      <c r="E18" s="98" t="s">
        <v>2</v>
      </c>
      <c r="F18" s="177" t="s">
        <v>252</v>
      </c>
      <c r="G18" s="177"/>
      <c r="H18" s="14"/>
      <c r="I18" s="14"/>
      <c r="J18" s="14"/>
      <c r="K18" s="14"/>
      <c r="L18" s="14"/>
      <c r="M18" s="14"/>
      <c r="N18" s="14"/>
      <c r="O18" s="14"/>
      <c r="P18" s="14"/>
      <c r="Q18" s="14"/>
      <c r="R18" s="14"/>
      <c r="S18" s="14"/>
      <c r="T18" s="14"/>
      <c r="U18" s="14"/>
      <c r="V18" s="14"/>
      <c r="W18" s="14"/>
      <c r="X18" s="14"/>
      <c r="Y18" s="14"/>
      <c r="Z18" s="14"/>
      <c r="AA18" s="14"/>
      <c r="AB18" s="14"/>
      <c r="AC18" s="14"/>
      <c r="AD18" s="14"/>
    </row>
    <row r="19" spans="2:30" customFormat="1" ht="22.25" customHeight="1" x14ac:dyDescent="0.35"/>
    <row r="20" spans="2:30" ht="24.5" customHeight="1" x14ac:dyDescent="0.35">
      <c r="B20" s="174" t="s">
        <v>48</v>
      </c>
      <c r="C20" s="87"/>
      <c r="D20" s="32"/>
      <c r="E20" s="113" t="s">
        <v>76</v>
      </c>
      <c r="H20" s="14"/>
      <c r="I20" s="14"/>
      <c r="J20" s="14"/>
      <c r="K20" s="14"/>
      <c r="L20" s="14"/>
      <c r="M20" s="14"/>
      <c r="N20" s="14"/>
      <c r="O20" s="14"/>
      <c r="P20" s="14"/>
      <c r="Q20" s="14"/>
      <c r="R20" s="14"/>
      <c r="S20" s="14"/>
      <c r="T20" s="14"/>
      <c r="U20" s="14"/>
      <c r="V20" s="14"/>
      <c r="W20" s="14"/>
      <c r="X20" s="14"/>
      <c r="Y20" s="14"/>
      <c r="Z20" s="14"/>
      <c r="AA20" s="14"/>
      <c r="AB20" s="14"/>
      <c r="AC20" s="14"/>
      <c r="AD20" s="14"/>
    </row>
    <row r="21" spans="2:30" ht="24.75" customHeight="1" x14ac:dyDescent="0.35">
      <c r="B21" s="174"/>
      <c r="C21" s="87"/>
      <c r="D21" s="32" t="s">
        <v>77</v>
      </c>
      <c r="E21" s="111">
        <v>40</v>
      </c>
      <c r="H21" s="14"/>
      <c r="I21" s="14"/>
      <c r="J21" s="14"/>
      <c r="K21" s="14"/>
      <c r="L21" s="14"/>
      <c r="M21" s="14"/>
      <c r="N21" s="14"/>
      <c r="O21" s="14"/>
      <c r="P21" s="14"/>
      <c r="Q21" s="14"/>
      <c r="R21" s="14"/>
      <c r="S21" s="14"/>
      <c r="T21" s="14"/>
      <c r="U21" s="14"/>
      <c r="V21" s="14"/>
      <c r="W21" s="14"/>
      <c r="X21" s="14"/>
      <c r="Y21" s="14"/>
      <c r="Z21" s="14"/>
      <c r="AA21" s="14"/>
      <c r="AB21" s="14"/>
      <c r="AC21" s="14"/>
      <c r="AD21" s="14"/>
    </row>
    <row r="22" spans="2:30" ht="14" customHeight="1" x14ac:dyDescent="0.35">
      <c r="B22" s="175"/>
      <c r="C22" s="87"/>
      <c r="D22" s="13"/>
      <c r="E22" s="13"/>
      <c r="F22" s="13"/>
      <c r="G22" s="13"/>
      <c r="H22" s="14"/>
      <c r="I22" s="14"/>
      <c r="J22" s="14"/>
      <c r="K22" s="14"/>
      <c r="L22" s="14"/>
      <c r="M22" s="14"/>
      <c r="N22" s="14"/>
      <c r="O22" s="14"/>
      <c r="P22" s="14"/>
      <c r="Q22" s="14"/>
      <c r="R22" s="14"/>
      <c r="S22" s="14"/>
      <c r="T22" s="14"/>
      <c r="U22" s="14"/>
      <c r="V22" s="14"/>
      <c r="W22" s="14"/>
      <c r="X22" s="14"/>
      <c r="Y22" s="14"/>
      <c r="Z22" s="14"/>
      <c r="AA22" s="14"/>
      <c r="AB22" s="14"/>
      <c r="AC22" s="14"/>
      <c r="AD22" s="14"/>
    </row>
    <row r="23" spans="2:30" ht="24.5" customHeight="1" x14ac:dyDescent="0.35">
      <c r="B23" s="175"/>
      <c r="C23" s="88" t="s">
        <v>216</v>
      </c>
      <c r="D23" s="60" t="s">
        <v>113</v>
      </c>
      <c r="E23" s="113" t="s">
        <v>76</v>
      </c>
      <c r="F23" s="61"/>
      <c r="G23" s="61"/>
      <c r="H23" s="14"/>
      <c r="I23" s="14"/>
      <c r="J23" s="14"/>
      <c r="K23" s="14"/>
      <c r="L23" s="14"/>
      <c r="M23" s="14"/>
      <c r="N23" s="14"/>
      <c r="O23" s="14"/>
      <c r="P23" s="14"/>
      <c r="Q23" s="14"/>
      <c r="R23" s="14"/>
      <c r="S23" s="14"/>
      <c r="T23" s="14"/>
      <c r="U23" s="14"/>
      <c r="V23" s="14"/>
      <c r="W23" s="14"/>
      <c r="X23" s="14"/>
      <c r="Y23" s="14"/>
      <c r="Z23" s="14"/>
      <c r="AA23" s="14"/>
      <c r="AB23" s="14"/>
      <c r="AC23" s="14"/>
      <c r="AD23" s="14"/>
    </row>
    <row r="24" spans="2:30" ht="24.5" customHeight="1" x14ac:dyDescent="0.35">
      <c r="B24" s="175"/>
      <c r="C24" s="87"/>
      <c r="D24" s="50" t="s">
        <v>71</v>
      </c>
      <c r="E24" s="105">
        <v>29</v>
      </c>
      <c r="F24" s="162" t="s">
        <v>251</v>
      </c>
      <c r="G24" s="178"/>
      <c r="H24" s="14"/>
      <c r="I24" s="14"/>
      <c r="J24" s="14"/>
      <c r="K24" s="14"/>
      <c r="L24" s="14"/>
      <c r="M24" s="14"/>
      <c r="N24" s="14"/>
      <c r="O24" s="14"/>
      <c r="P24" s="14"/>
      <c r="Q24" s="14"/>
      <c r="R24" s="14"/>
      <c r="S24" s="14"/>
      <c r="T24" s="14"/>
      <c r="U24" s="14"/>
      <c r="V24" s="14"/>
      <c r="W24" s="14"/>
      <c r="X24" s="14"/>
      <c r="Y24" s="14"/>
      <c r="Z24" s="14"/>
      <c r="AA24" s="14"/>
      <c r="AB24" s="14"/>
      <c r="AC24" s="14"/>
      <c r="AD24" s="14"/>
    </row>
    <row r="25" spans="2:30" ht="24.5" customHeight="1" x14ac:dyDescent="0.35">
      <c r="B25" s="175"/>
      <c r="C25" s="87"/>
      <c r="D25" s="50" t="s">
        <v>72</v>
      </c>
      <c r="E25" s="105">
        <v>11</v>
      </c>
      <c r="F25" s="179"/>
      <c r="G25" s="180"/>
      <c r="H25" s="14"/>
      <c r="I25" s="14"/>
      <c r="J25" s="14"/>
      <c r="K25" s="14"/>
      <c r="L25" s="14"/>
      <c r="M25" s="14"/>
      <c r="N25" s="14"/>
      <c r="O25" s="14"/>
      <c r="P25" s="14"/>
      <c r="Q25" s="14"/>
      <c r="R25" s="14"/>
      <c r="S25" s="14"/>
      <c r="T25" s="14"/>
      <c r="U25" s="14"/>
      <c r="V25" s="14"/>
      <c r="W25" s="14"/>
      <c r="X25" s="14"/>
      <c r="Y25" s="14"/>
      <c r="Z25" s="14"/>
      <c r="AA25" s="14"/>
      <c r="AB25" s="14"/>
      <c r="AC25" s="14"/>
      <c r="AD25" s="14"/>
    </row>
    <row r="26" spans="2:30" ht="24.5" customHeight="1" x14ac:dyDescent="0.35">
      <c r="B26" s="175"/>
      <c r="C26" s="87"/>
      <c r="D26" s="51" t="s">
        <v>112</v>
      </c>
      <c r="E26" s="111">
        <v>0</v>
      </c>
      <c r="F26" s="181"/>
      <c r="G26" s="182"/>
      <c r="H26" s="14"/>
      <c r="I26" s="14"/>
      <c r="J26" s="14"/>
      <c r="K26" s="14"/>
      <c r="L26" s="14"/>
      <c r="M26" s="14"/>
      <c r="N26" s="14"/>
      <c r="O26" s="14"/>
      <c r="P26" s="14"/>
      <c r="Q26" s="14"/>
      <c r="R26" s="14"/>
      <c r="S26" s="14"/>
      <c r="T26" s="14"/>
      <c r="U26" s="14"/>
      <c r="V26" s="14"/>
      <c r="W26" s="14"/>
      <c r="X26" s="14"/>
      <c r="Y26" s="14"/>
      <c r="Z26" s="14"/>
      <c r="AA26" s="14"/>
      <c r="AB26" s="14"/>
      <c r="AC26" s="14"/>
      <c r="AD26" s="14"/>
    </row>
    <row r="27" spans="2:30" ht="24.75" customHeight="1" x14ac:dyDescent="0.35">
      <c r="B27" s="175"/>
      <c r="C27" s="87"/>
      <c r="D27" s="50"/>
      <c r="E27" s="103" t="str">
        <f>IF(SUM(E24:E26)=$E$21,"Check","Error")</f>
        <v>Check</v>
      </c>
      <c r="F27" s="13"/>
      <c r="G27" s="14"/>
      <c r="H27" s="14"/>
      <c r="I27" s="14"/>
      <c r="J27" s="14"/>
      <c r="K27" s="14"/>
      <c r="L27" s="14"/>
      <c r="M27" s="14"/>
      <c r="N27" s="14"/>
      <c r="O27" s="14"/>
      <c r="P27" s="14"/>
      <c r="Q27" s="14"/>
      <c r="R27" s="14"/>
      <c r="S27" s="14"/>
      <c r="T27" s="14"/>
      <c r="U27" s="14"/>
      <c r="V27" s="14"/>
      <c r="W27" s="14"/>
      <c r="X27" s="14"/>
      <c r="Y27" s="14"/>
      <c r="Z27" s="14"/>
      <c r="AA27" s="14"/>
      <c r="AB27" s="14"/>
      <c r="AC27" s="14"/>
      <c r="AD27" s="14"/>
    </row>
    <row r="28" spans="2:30" ht="14" customHeight="1" x14ac:dyDescent="0.35">
      <c r="B28" s="175"/>
      <c r="C28" s="87"/>
      <c r="D28" s="13"/>
      <c r="E28" s="13"/>
      <c r="F28" s="13"/>
      <c r="G28" s="13"/>
      <c r="H28" s="14"/>
      <c r="I28" s="14"/>
      <c r="J28" s="14"/>
      <c r="K28" s="14"/>
      <c r="L28" s="14"/>
      <c r="M28" s="14"/>
      <c r="N28" s="14"/>
      <c r="O28" s="14"/>
      <c r="P28" s="14"/>
      <c r="Q28" s="14"/>
      <c r="R28" s="14"/>
      <c r="S28" s="14"/>
      <c r="T28" s="14"/>
      <c r="U28" s="14"/>
      <c r="V28" s="14"/>
      <c r="W28" s="14"/>
      <c r="X28" s="14"/>
      <c r="Y28" s="14"/>
      <c r="Z28" s="14"/>
      <c r="AA28" s="14"/>
      <c r="AB28" s="14"/>
      <c r="AC28" s="14"/>
      <c r="AD28" s="14"/>
    </row>
    <row r="29" spans="2:30" ht="24" customHeight="1" x14ac:dyDescent="0.35">
      <c r="B29" s="175"/>
      <c r="C29" s="88" t="s">
        <v>215</v>
      </c>
      <c r="D29" s="52" t="s">
        <v>81</v>
      </c>
      <c r="E29" s="113" t="s">
        <v>76</v>
      </c>
      <c r="F29" s="13"/>
      <c r="G29" s="13"/>
      <c r="H29" s="14"/>
      <c r="I29" s="14"/>
      <c r="J29" s="14"/>
      <c r="K29" s="14"/>
      <c r="L29" s="14"/>
      <c r="M29" s="14"/>
      <c r="N29" s="14"/>
      <c r="O29" s="14"/>
      <c r="P29" s="14"/>
      <c r="Q29" s="14"/>
      <c r="R29" s="14"/>
      <c r="S29" s="14"/>
      <c r="T29" s="14"/>
      <c r="U29" s="14"/>
      <c r="V29" s="14"/>
      <c r="W29" s="14"/>
      <c r="X29" s="14"/>
      <c r="Y29" s="14"/>
      <c r="Z29" s="14"/>
      <c r="AA29" s="14"/>
      <c r="AB29" s="14"/>
      <c r="AC29" s="14"/>
      <c r="AD29" s="14"/>
    </row>
    <row r="30" spans="2:30" ht="24" customHeight="1" x14ac:dyDescent="0.35">
      <c r="B30" s="175"/>
      <c r="C30" s="87"/>
      <c r="D30" s="50" t="s">
        <v>133</v>
      </c>
      <c r="E30" s="105">
        <v>40</v>
      </c>
      <c r="F30" s="162" t="s">
        <v>288</v>
      </c>
      <c r="G30" s="163"/>
      <c r="H30" s="14"/>
      <c r="I30" s="14"/>
      <c r="J30" s="14"/>
      <c r="K30" s="14"/>
      <c r="L30" s="14"/>
      <c r="M30" s="14"/>
      <c r="N30" s="14"/>
      <c r="O30" s="14"/>
      <c r="P30" s="14"/>
      <c r="Q30" s="14"/>
      <c r="R30" s="14"/>
      <c r="S30" s="14"/>
      <c r="T30" s="14"/>
      <c r="U30" s="14"/>
      <c r="V30" s="14"/>
      <c r="W30" s="14"/>
      <c r="X30" s="14"/>
      <c r="Y30" s="14"/>
      <c r="Z30" s="14"/>
      <c r="AA30" s="14"/>
      <c r="AB30" s="14"/>
      <c r="AC30" s="14"/>
      <c r="AD30" s="14"/>
    </row>
    <row r="31" spans="2:30" ht="24" customHeight="1" x14ac:dyDescent="0.35">
      <c r="B31" s="175"/>
      <c r="C31" s="87"/>
      <c r="D31" s="50" t="s">
        <v>134</v>
      </c>
      <c r="E31" s="105">
        <v>40</v>
      </c>
      <c r="F31" s="164"/>
      <c r="G31" s="165"/>
      <c r="H31" s="14"/>
      <c r="I31" s="14"/>
      <c r="J31" s="14"/>
      <c r="K31" s="14"/>
      <c r="L31" s="14"/>
      <c r="M31" s="14"/>
      <c r="N31" s="14"/>
      <c r="O31" s="14"/>
      <c r="P31" s="14"/>
      <c r="Q31" s="14"/>
      <c r="R31" s="14"/>
      <c r="S31" s="14"/>
      <c r="T31" s="14"/>
      <c r="U31" s="14"/>
      <c r="V31" s="14"/>
      <c r="W31" s="14"/>
      <c r="X31" s="14"/>
      <c r="Y31" s="14"/>
      <c r="Z31" s="14"/>
      <c r="AA31" s="14"/>
      <c r="AB31" s="14"/>
      <c r="AC31" s="14"/>
      <c r="AD31" s="14"/>
    </row>
    <row r="32" spans="2:30" ht="24" customHeight="1" x14ac:dyDescent="0.35">
      <c r="B32" s="175"/>
      <c r="C32" s="87"/>
      <c r="D32" s="50" t="s">
        <v>135</v>
      </c>
      <c r="E32" s="105">
        <v>0</v>
      </c>
      <c r="F32" s="164"/>
      <c r="G32" s="165"/>
      <c r="H32" s="14"/>
      <c r="I32" s="14"/>
      <c r="J32" s="14"/>
      <c r="K32" s="14"/>
      <c r="L32" s="14"/>
      <c r="M32" s="14"/>
      <c r="N32" s="14"/>
      <c r="O32" s="14"/>
      <c r="P32" s="14"/>
      <c r="Q32" s="14"/>
      <c r="R32" s="14"/>
      <c r="S32" s="14"/>
      <c r="T32" s="14"/>
      <c r="U32" s="14"/>
      <c r="V32" s="14"/>
      <c r="W32" s="14"/>
      <c r="X32" s="14"/>
      <c r="Y32" s="14"/>
      <c r="Z32" s="14"/>
      <c r="AA32" s="14"/>
      <c r="AB32" s="14"/>
      <c r="AC32" s="14"/>
      <c r="AD32" s="14"/>
    </row>
    <row r="33" spans="1:32" ht="24" customHeight="1" x14ac:dyDescent="0.35">
      <c r="B33" s="175"/>
      <c r="C33" s="87"/>
      <c r="D33" s="50" t="s">
        <v>136</v>
      </c>
      <c r="E33" s="105">
        <v>17</v>
      </c>
      <c r="F33" s="164"/>
      <c r="G33" s="165"/>
      <c r="H33" s="14"/>
      <c r="I33" s="14"/>
      <c r="J33" s="14"/>
      <c r="K33" s="14"/>
      <c r="L33" s="14"/>
      <c r="M33" s="14"/>
      <c r="N33" s="14"/>
      <c r="O33" s="14"/>
      <c r="P33" s="14"/>
      <c r="Q33" s="14"/>
      <c r="R33" s="14"/>
      <c r="S33" s="14"/>
      <c r="T33" s="14"/>
      <c r="U33" s="14"/>
      <c r="V33" s="14"/>
      <c r="W33" s="14"/>
      <c r="X33" s="14"/>
      <c r="Y33" s="14"/>
      <c r="Z33" s="14"/>
      <c r="AA33" s="14"/>
      <c r="AB33" s="14"/>
      <c r="AC33" s="14"/>
      <c r="AD33" s="14"/>
    </row>
    <row r="34" spans="1:32" ht="24" customHeight="1" x14ac:dyDescent="0.35">
      <c r="B34" s="175"/>
      <c r="C34" s="87"/>
      <c r="D34" s="50" t="s">
        <v>137</v>
      </c>
      <c r="E34" s="105">
        <v>0</v>
      </c>
      <c r="F34" s="166"/>
      <c r="G34" s="167"/>
      <c r="H34" s="14"/>
      <c r="I34" s="14"/>
      <c r="J34" s="14"/>
      <c r="K34" s="14"/>
      <c r="L34" s="14"/>
      <c r="M34" s="14"/>
      <c r="N34" s="14"/>
      <c r="O34" s="14"/>
      <c r="P34" s="14"/>
      <c r="Q34" s="14"/>
      <c r="R34" s="14"/>
      <c r="S34" s="14"/>
      <c r="T34" s="14"/>
      <c r="U34" s="14"/>
      <c r="V34" s="14"/>
      <c r="W34" s="14"/>
      <c r="X34" s="14"/>
      <c r="Y34" s="14"/>
      <c r="Z34" s="14"/>
      <c r="AA34" s="14"/>
      <c r="AB34" s="14"/>
      <c r="AC34" s="14"/>
      <c r="AD34" s="14"/>
    </row>
    <row r="35" spans="1:32" ht="24.75" customHeight="1" x14ac:dyDescent="0.35">
      <c r="B35" s="175"/>
      <c r="C35" s="87"/>
      <c r="D35" s="50"/>
      <c r="E35" s="13"/>
      <c r="F35" s="13"/>
      <c r="G35" s="14"/>
      <c r="H35" s="14"/>
      <c r="I35" s="14"/>
      <c r="J35" s="14"/>
      <c r="K35" s="14"/>
      <c r="L35" s="14"/>
      <c r="M35" s="14"/>
      <c r="N35" s="14"/>
      <c r="O35" s="14"/>
      <c r="P35" s="14"/>
      <c r="Q35" s="14"/>
      <c r="R35" s="14"/>
      <c r="S35" s="14"/>
      <c r="T35" s="14"/>
      <c r="U35" s="14"/>
      <c r="V35" s="14"/>
      <c r="W35" s="14"/>
      <c r="X35" s="14"/>
      <c r="Y35" s="14"/>
      <c r="Z35" s="14"/>
      <c r="AA35" s="14"/>
      <c r="AB35" s="14"/>
      <c r="AC35" s="14"/>
      <c r="AD35" s="14"/>
    </row>
    <row r="36" spans="1:32" ht="14.5" customHeight="1" x14ac:dyDescent="0.35">
      <c r="B36" s="175"/>
      <c r="C36" s="87"/>
      <c r="D36" s="14"/>
      <c r="E36" s="13"/>
      <c r="F36" s="13"/>
      <c r="G36" s="14"/>
      <c r="H36" s="14"/>
      <c r="I36" s="14"/>
      <c r="J36" s="14"/>
      <c r="K36" s="14"/>
      <c r="L36" s="14"/>
      <c r="M36" s="14"/>
      <c r="N36" s="14"/>
      <c r="O36" s="14"/>
      <c r="P36" s="14"/>
      <c r="Q36" s="14"/>
      <c r="R36" s="14"/>
      <c r="S36" s="14"/>
      <c r="T36" s="14"/>
      <c r="U36" s="14"/>
      <c r="V36" s="14"/>
      <c r="W36" s="14"/>
      <c r="X36" s="14"/>
      <c r="Y36" s="14"/>
      <c r="Z36" s="14"/>
      <c r="AA36" s="14"/>
      <c r="AB36" s="14"/>
      <c r="AC36" s="14"/>
      <c r="AD36" s="14"/>
    </row>
    <row r="37" spans="1:32" ht="24.5" customHeight="1" x14ac:dyDescent="0.35">
      <c r="B37" s="175"/>
      <c r="C37" s="88" t="s">
        <v>214</v>
      </c>
      <c r="D37" s="52" t="s">
        <v>80</v>
      </c>
      <c r="E37" s="113" t="s">
        <v>76</v>
      </c>
      <c r="F37" s="13"/>
      <c r="G37" s="49"/>
      <c r="H37" s="14"/>
      <c r="I37" s="14"/>
      <c r="J37" s="14"/>
      <c r="K37" s="14"/>
      <c r="L37" s="14"/>
      <c r="M37" s="14"/>
      <c r="N37" s="14"/>
      <c r="O37" s="14"/>
      <c r="P37" s="14"/>
      <c r="Q37" s="14"/>
      <c r="R37" s="14"/>
      <c r="S37" s="14"/>
      <c r="T37" s="14"/>
      <c r="U37" s="14"/>
      <c r="V37" s="14"/>
      <c r="W37" s="14"/>
      <c r="X37" s="14"/>
      <c r="Y37" s="14"/>
      <c r="Z37" s="14"/>
      <c r="AA37" s="14"/>
      <c r="AB37" s="14"/>
      <c r="AC37" s="14"/>
      <c r="AD37" s="14"/>
    </row>
    <row r="38" spans="1:32" ht="24.5" customHeight="1" x14ac:dyDescent="0.35">
      <c r="B38" s="175"/>
      <c r="C38" s="87"/>
      <c r="D38" s="50" t="s">
        <v>130</v>
      </c>
      <c r="E38" s="110">
        <v>20</v>
      </c>
      <c r="F38" s="192" t="s">
        <v>240</v>
      </c>
      <c r="G38" s="193"/>
      <c r="H38" s="14"/>
      <c r="I38" s="14"/>
      <c r="J38" s="14"/>
      <c r="K38" s="14"/>
      <c r="L38" s="14"/>
      <c r="M38" s="14"/>
      <c r="N38" s="14"/>
      <c r="O38" s="14"/>
      <c r="P38" s="14"/>
      <c r="Q38" s="14"/>
      <c r="R38" s="14"/>
      <c r="S38" s="14"/>
      <c r="T38" s="14"/>
      <c r="U38" s="14"/>
      <c r="V38" s="14"/>
      <c r="W38" s="14"/>
      <c r="X38" s="14"/>
      <c r="Y38" s="14"/>
      <c r="Z38" s="14"/>
      <c r="AA38" s="14"/>
      <c r="AB38" s="14"/>
      <c r="AC38" s="14"/>
      <c r="AD38" s="14"/>
    </row>
    <row r="39" spans="1:32" ht="24.5" customHeight="1" x14ac:dyDescent="0.35">
      <c r="B39" s="175"/>
      <c r="C39" s="87"/>
      <c r="D39" s="50" t="s">
        <v>131</v>
      </c>
      <c r="E39" s="110">
        <v>20</v>
      </c>
      <c r="F39" s="194"/>
      <c r="G39" s="193"/>
      <c r="H39" s="14"/>
      <c r="I39" s="14"/>
      <c r="J39" s="14"/>
      <c r="K39" s="14"/>
      <c r="L39" s="14"/>
      <c r="M39" s="14"/>
      <c r="N39" s="14"/>
      <c r="O39" s="14"/>
      <c r="P39" s="14"/>
      <c r="Q39" s="14"/>
      <c r="R39" s="14"/>
      <c r="S39" s="14"/>
      <c r="T39" s="14"/>
      <c r="U39" s="14"/>
      <c r="V39" s="14"/>
      <c r="W39" s="14"/>
      <c r="X39" s="14"/>
      <c r="Y39" s="14"/>
      <c r="Z39" s="14"/>
      <c r="AA39" s="14"/>
      <c r="AB39" s="14"/>
      <c r="AC39" s="14"/>
      <c r="AD39" s="14"/>
    </row>
    <row r="40" spans="1:32" ht="24.5" customHeight="1" x14ac:dyDescent="0.35">
      <c r="B40" s="175"/>
      <c r="C40" s="87"/>
      <c r="D40" s="50" t="s">
        <v>132</v>
      </c>
      <c r="E40" s="110">
        <v>0</v>
      </c>
      <c r="F40" s="195"/>
      <c r="G40" s="196"/>
      <c r="H40" s="14"/>
      <c r="I40" s="14"/>
      <c r="J40" s="14"/>
      <c r="K40" s="14"/>
      <c r="L40" s="14"/>
      <c r="M40" s="14"/>
      <c r="N40" s="14"/>
      <c r="O40" s="14"/>
      <c r="P40" s="14"/>
      <c r="Q40" s="14"/>
      <c r="R40" s="14"/>
      <c r="S40" s="14"/>
      <c r="T40" s="14"/>
      <c r="U40" s="14"/>
      <c r="V40" s="14"/>
      <c r="W40" s="14"/>
      <c r="X40" s="14"/>
      <c r="Y40" s="14"/>
      <c r="Z40" s="14"/>
      <c r="AA40" s="14"/>
      <c r="AB40" s="14"/>
      <c r="AC40" s="14"/>
      <c r="AD40" s="14"/>
    </row>
    <row r="41" spans="1:32" ht="24.75" customHeight="1" x14ac:dyDescent="0.35">
      <c r="B41" s="175"/>
      <c r="C41" s="87"/>
      <c r="D41" s="50"/>
      <c r="E41" s="103" t="str">
        <f>IF(SUM(E38:E40)=$E$21,"Check","Error")</f>
        <v>Check</v>
      </c>
      <c r="F41" s="13"/>
      <c r="G41" s="14"/>
      <c r="H41" s="14"/>
      <c r="I41" s="14"/>
      <c r="J41" s="14"/>
      <c r="K41" s="14"/>
      <c r="L41" s="14"/>
      <c r="M41" s="14"/>
      <c r="N41" s="14"/>
      <c r="O41" s="14"/>
      <c r="P41" s="14"/>
      <c r="Q41" s="14"/>
      <c r="R41" s="14"/>
      <c r="S41" s="14"/>
      <c r="T41" s="14"/>
      <c r="U41" s="14"/>
      <c r="V41" s="14"/>
      <c r="W41" s="14"/>
      <c r="X41" s="14"/>
      <c r="Y41" s="14"/>
      <c r="Z41" s="14"/>
      <c r="AA41" s="14"/>
      <c r="AB41" s="14"/>
      <c r="AC41" s="14"/>
      <c r="AD41" s="14"/>
    </row>
    <row r="42" spans="1:32" x14ac:dyDescent="0.35">
      <c r="B42" s="175"/>
      <c r="C42" s="87"/>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row>
    <row r="43" spans="1:32" ht="24.5" customHeight="1" x14ac:dyDescent="0.35">
      <c r="B43" s="175"/>
      <c r="C43" s="88" t="s">
        <v>213</v>
      </c>
      <c r="D43" s="60" t="s">
        <v>114</v>
      </c>
      <c r="E43" s="113" t="s">
        <v>76</v>
      </c>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2" ht="24.5" customHeight="1" x14ac:dyDescent="0.35">
      <c r="B44" s="175"/>
      <c r="C44" s="87"/>
      <c r="D44" s="50" t="s">
        <v>140</v>
      </c>
      <c r="E44" s="105">
        <v>36</v>
      </c>
      <c r="F44" s="197" t="s">
        <v>241</v>
      </c>
      <c r="G44" s="198"/>
      <c r="H44" s="14"/>
      <c r="I44" s="14"/>
      <c r="J44" s="14"/>
      <c r="K44" s="14"/>
      <c r="L44" s="14"/>
      <c r="M44" s="14"/>
      <c r="N44" s="14"/>
      <c r="O44" s="14"/>
      <c r="P44" s="14"/>
      <c r="Q44" s="14"/>
      <c r="R44" s="14"/>
      <c r="S44" s="14"/>
      <c r="T44" s="14"/>
      <c r="U44" s="14"/>
      <c r="V44" s="14"/>
      <c r="W44" s="14"/>
      <c r="X44" s="14"/>
      <c r="Y44" s="14"/>
      <c r="Z44" s="14"/>
      <c r="AA44" s="14"/>
      <c r="AB44" s="14"/>
      <c r="AC44" s="14"/>
      <c r="AD44" s="14"/>
    </row>
    <row r="45" spans="1:32" ht="24.5" customHeight="1" x14ac:dyDescent="0.35">
      <c r="B45" s="175"/>
      <c r="C45" s="87"/>
      <c r="D45" s="50" t="s">
        <v>141</v>
      </c>
      <c r="E45" s="105">
        <v>4</v>
      </c>
      <c r="F45" s="199"/>
      <c r="G45" s="200"/>
      <c r="H45" s="14"/>
      <c r="I45" s="14"/>
      <c r="J45" s="14"/>
      <c r="K45" s="14"/>
      <c r="L45" s="14"/>
      <c r="M45" s="14"/>
      <c r="N45" s="14"/>
      <c r="O45" s="14"/>
      <c r="P45" s="14"/>
      <c r="Q45" s="14"/>
      <c r="R45" s="14"/>
      <c r="S45" s="14"/>
      <c r="T45" s="14"/>
      <c r="U45" s="14"/>
      <c r="V45" s="14"/>
      <c r="W45" s="14"/>
      <c r="X45" s="14"/>
      <c r="Y45" s="14"/>
      <c r="Z45" s="14"/>
      <c r="AA45" s="14"/>
      <c r="AB45" s="14"/>
      <c r="AC45" s="14"/>
      <c r="AD45" s="14"/>
    </row>
    <row r="46" spans="1:32" ht="24.75" customHeight="1" x14ac:dyDescent="0.35">
      <c r="B46" s="175"/>
      <c r="C46" s="87"/>
      <c r="D46" s="50"/>
      <c r="E46" s="103" t="str">
        <f>IF(SUM(E44:E45)=$E$21,"Check","Error")</f>
        <v>Check</v>
      </c>
      <c r="F46" s="13"/>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1:32" x14ac:dyDescent="0.35">
      <c r="B47" s="175"/>
      <c r="C47" s="62"/>
      <c r="F47" s="12"/>
      <c r="H47" s="14"/>
      <c r="I47" s="14"/>
      <c r="J47" s="14"/>
      <c r="K47" s="14"/>
      <c r="L47" s="14"/>
      <c r="M47" s="14"/>
      <c r="N47" s="14"/>
      <c r="O47" s="14"/>
      <c r="P47" s="14"/>
      <c r="Q47" s="14"/>
      <c r="R47" s="14"/>
      <c r="S47" s="14"/>
      <c r="T47" s="14"/>
      <c r="U47" s="14"/>
      <c r="V47" s="14"/>
      <c r="W47" s="14"/>
      <c r="X47" s="14"/>
      <c r="Y47" s="14"/>
      <c r="Z47" s="14"/>
      <c r="AA47" s="14"/>
      <c r="AB47" s="14"/>
      <c r="AC47" s="14"/>
      <c r="AD47" s="14"/>
    </row>
    <row r="48" spans="1:32" s="63" customFormat="1" x14ac:dyDescent="0.35">
      <c r="A48" s="25"/>
      <c r="B48" s="14"/>
      <c r="C48" s="89"/>
      <c r="D48" s="14"/>
      <c r="E48" s="37"/>
      <c r="F48" s="2"/>
      <c r="G48" s="2"/>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row>
    <row r="49" spans="1:32" s="63" customFormat="1" x14ac:dyDescent="0.35">
      <c r="A49" s="25"/>
      <c r="B49" s="14"/>
      <c r="C49" s="89"/>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row>
    <row r="50" spans="1:32" s="64" customFormat="1" ht="14.5" customHeight="1" x14ac:dyDescent="0.35">
      <c r="A50" s="1"/>
      <c r="B50" s="205" t="s">
        <v>128</v>
      </c>
      <c r="C50" s="90"/>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row>
    <row r="51" spans="1:32" ht="24.5" customHeight="1" x14ac:dyDescent="0.35">
      <c r="B51" s="205"/>
      <c r="C51" s="88" t="s">
        <v>217</v>
      </c>
      <c r="D51" s="52" t="s">
        <v>129</v>
      </c>
      <c r="E51" s="113" t="s">
        <v>76</v>
      </c>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row>
    <row r="52" spans="1:32" ht="24.5" customHeight="1" x14ac:dyDescent="0.35">
      <c r="B52" s="205"/>
      <c r="C52" s="90"/>
      <c r="D52" s="50" t="s">
        <v>138</v>
      </c>
      <c r="E52" s="105">
        <v>0</v>
      </c>
      <c r="F52" s="186" t="s">
        <v>288</v>
      </c>
      <c r="G52" s="187"/>
      <c r="H52" s="96"/>
      <c r="I52" s="14"/>
      <c r="J52" s="14"/>
      <c r="K52" s="14"/>
      <c r="L52" s="14"/>
      <c r="M52" s="14"/>
      <c r="N52" s="14"/>
      <c r="O52" s="14"/>
      <c r="P52" s="14"/>
      <c r="Q52" s="14"/>
      <c r="R52" s="14"/>
      <c r="S52" s="14"/>
      <c r="T52" s="14"/>
      <c r="U52" s="14"/>
      <c r="V52" s="14"/>
      <c r="W52" s="14"/>
      <c r="X52" s="14"/>
      <c r="Y52" s="14"/>
      <c r="Z52" s="14"/>
      <c r="AA52" s="14"/>
      <c r="AB52" s="14"/>
      <c r="AC52" s="14"/>
      <c r="AD52" s="14"/>
      <c r="AE52" s="14"/>
      <c r="AF52" s="14"/>
    </row>
    <row r="53" spans="1:32" ht="24.5" customHeight="1" x14ac:dyDescent="0.35">
      <c r="B53" s="205"/>
      <c r="C53" s="90"/>
      <c r="D53" s="50" t="s">
        <v>139</v>
      </c>
      <c r="E53" s="105">
        <v>40</v>
      </c>
      <c r="F53" s="188"/>
      <c r="G53" s="189"/>
      <c r="H53" s="96"/>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1:32" ht="24.5" customHeight="1" x14ac:dyDescent="0.35">
      <c r="B54" s="205"/>
      <c r="C54" s="90"/>
      <c r="D54" s="50" t="s">
        <v>142</v>
      </c>
      <c r="E54" s="105">
        <v>0</v>
      </c>
      <c r="F54" s="188"/>
      <c r="G54" s="189"/>
      <c r="H54" s="96"/>
      <c r="I54" s="14"/>
      <c r="J54" s="14"/>
      <c r="K54" s="14"/>
      <c r="L54" s="14"/>
      <c r="M54" s="14"/>
      <c r="N54" s="14"/>
      <c r="O54" s="14"/>
      <c r="P54" s="14"/>
      <c r="Q54" s="14"/>
      <c r="R54" s="14"/>
      <c r="S54" s="14"/>
      <c r="T54" s="14"/>
      <c r="U54" s="14"/>
      <c r="V54" s="14"/>
      <c r="W54" s="14"/>
      <c r="X54" s="14"/>
      <c r="Y54" s="14"/>
      <c r="Z54" s="14"/>
      <c r="AA54" s="14"/>
      <c r="AB54" s="14"/>
      <c r="AC54" s="14"/>
      <c r="AD54" s="14"/>
      <c r="AE54" s="14"/>
      <c r="AF54" s="14"/>
    </row>
    <row r="55" spans="1:32" ht="24.5" customHeight="1" x14ac:dyDescent="0.35">
      <c r="B55" s="205"/>
      <c r="C55" s="90"/>
      <c r="D55" s="50" t="s">
        <v>143</v>
      </c>
      <c r="E55" s="105">
        <v>0</v>
      </c>
      <c r="F55" s="190"/>
      <c r="G55" s="191"/>
      <c r="H55" s="96"/>
      <c r="I55" s="14"/>
      <c r="J55" s="14"/>
      <c r="K55" s="14"/>
      <c r="L55" s="14"/>
      <c r="M55" s="14"/>
      <c r="N55" s="14"/>
      <c r="O55" s="14"/>
      <c r="P55" s="14"/>
      <c r="Q55" s="14"/>
      <c r="R55" s="14"/>
      <c r="S55" s="14"/>
      <c r="T55" s="14"/>
      <c r="U55" s="14"/>
      <c r="V55" s="14"/>
      <c r="W55" s="14"/>
      <c r="X55" s="14"/>
      <c r="Y55" s="14"/>
      <c r="Z55" s="14"/>
      <c r="AA55" s="14"/>
      <c r="AB55" s="14"/>
      <c r="AC55" s="14"/>
      <c r="AD55" s="14"/>
      <c r="AE55" s="14"/>
      <c r="AF55" s="14"/>
    </row>
    <row r="56" spans="1:32" ht="24.75" customHeight="1" x14ac:dyDescent="0.35">
      <c r="B56" s="205"/>
      <c r="C56" s="87"/>
      <c r="D56" s="50"/>
      <c r="E56" s="13"/>
      <c r="F56" s="13"/>
      <c r="G56" s="14"/>
      <c r="H56" s="14"/>
      <c r="I56" s="14"/>
      <c r="J56" s="14"/>
      <c r="K56" s="14"/>
      <c r="L56" s="14"/>
      <c r="M56" s="14"/>
      <c r="N56" s="14"/>
      <c r="O56" s="14"/>
      <c r="P56" s="14"/>
      <c r="Q56" s="14"/>
      <c r="R56" s="14"/>
      <c r="S56" s="14"/>
      <c r="T56" s="14"/>
      <c r="U56" s="14"/>
      <c r="V56" s="14"/>
      <c r="W56" s="14"/>
      <c r="X56" s="14"/>
      <c r="Y56" s="14"/>
      <c r="Z56" s="14"/>
      <c r="AA56" s="14"/>
      <c r="AB56" s="14"/>
      <c r="AC56" s="14"/>
      <c r="AD56" s="14"/>
    </row>
    <row r="57" spans="1:32" ht="15" customHeight="1" x14ac:dyDescent="0.35">
      <c r="B57" s="205"/>
      <c r="C57" s="90"/>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row>
    <row r="58" spans="1:32" ht="24" customHeight="1" x14ac:dyDescent="0.35">
      <c r="B58" s="205"/>
      <c r="C58" s="90"/>
      <c r="D58" s="14"/>
      <c r="E58" s="113" t="s">
        <v>76</v>
      </c>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row>
    <row r="59" spans="1:32" ht="24" customHeight="1" x14ac:dyDescent="0.35">
      <c r="B59" s="205"/>
      <c r="C59" s="76" t="s">
        <v>218</v>
      </c>
      <c r="D59" s="14" t="s">
        <v>147</v>
      </c>
      <c r="E59" s="97">
        <v>40</v>
      </c>
      <c r="F59" s="25"/>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row>
    <row r="60" spans="1:32" ht="15" customHeight="1" x14ac:dyDescent="0.35">
      <c r="B60" s="205"/>
      <c r="C60" s="90"/>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row>
    <row r="61" spans="1:32" ht="24" customHeight="1" x14ac:dyDescent="0.35">
      <c r="B61" s="205"/>
      <c r="C61" s="76" t="s">
        <v>219</v>
      </c>
      <c r="D61" s="52" t="s">
        <v>144</v>
      </c>
      <c r="E61" s="113" t="s">
        <v>76</v>
      </c>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row>
    <row r="62" spans="1:32" ht="24" customHeight="1" x14ac:dyDescent="0.35">
      <c r="B62" s="205"/>
      <c r="C62" s="90"/>
      <c r="D62" s="50" t="s">
        <v>145</v>
      </c>
      <c r="E62" s="105">
        <v>40</v>
      </c>
      <c r="F62" s="186" t="s">
        <v>242</v>
      </c>
      <c r="G62" s="187"/>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row>
    <row r="63" spans="1:32" ht="24" customHeight="1" x14ac:dyDescent="0.35">
      <c r="B63" s="205"/>
      <c r="C63" s="90"/>
      <c r="D63" s="50" t="s">
        <v>146</v>
      </c>
      <c r="E63" s="105">
        <v>0</v>
      </c>
      <c r="F63" s="188"/>
      <c r="G63" s="189"/>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row>
    <row r="64" spans="1:32" ht="24" customHeight="1" x14ac:dyDescent="0.35">
      <c r="B64" s="205"/>
      <c r="C64" s="90"/>
      <c r="D64" s="50" t="s">
        <v>148</v>
      </c>
      <c r="E64" s="105">
        <v>0</v>
      </c>
      <c r="F64" s="190"/>
      <c r="G64" s="191"/>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row>
    <row r="65" spans="2:32" ht="24.75" customHeight="1" x14ac:dyDescent="0.35">
      <c r="B65" s="205"/>
      <c r="C65" s="87"/>
      <c r="D65" s="50"/>
      <c r="E65" s="103" t="str">
        <f>IF(SUM(E62:E64)=$E$21,"Check","Error")</f>
        <v>Check</v>
      </c>
      <c r="F65" s="13"/>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2" ht="14" customHeight="1" x14ac:dyDescent="0.35">
      <c r="B66" s="205"/>
      <c r="C66" s="90"/>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row>
    <row r="67" spans="2:32" ht="24.5" customHeight="1" x14ac:dyDescent="0.35">
      <c r="B67" s="205"/>
      <c r="C67" s="76" t="s">
        <v>220</v>
      </c>
      <c r="D67" s="52" t="s">
        <v>149</v>
      </c>
      <c r="E67" s="113" t="s">
        <v>76</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row>
    <row r="68" spans="2:32" ht="24.5" customHeight="1" x14ac:dyDescent="0.35">
      <c r="B68" s="205"/>
      <c r="C68" s="90"/>
      <c r="D68" s="50" t="s">
        <v>150</v>
      </c>
      <c r="E68" s="97">
        <v>40</v>
      </c>
      <c r="F68" s="186" t="s">
        <v>242</v>
      </c>
      <c r="G68" s="187"/>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row>
    <row r="69" spans="2:32" ht="24.5" customHeight="1" x14ac:dyDescent="0.35">
      <c r="B69" s="205"/>
      <c r="C69" s="90"/>
      <c r="D69" s="50" t="s">
        <v>151</v>
      </c>
      <c r="E69" s="97">
        <v>0</v>
      </c>
      <c r="F69" s="188"/>
      <c r="G69" s="189"/>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row>
    <row r="70" spans="2:32" ht="24.5" customHeight="1" x14ac:dyDescent="0.35">
      <c r="B70" s="205"/>
      <c r="C70" s="90"/>
      <c r="D70" s="50" t="s">
        <v>152</v>
      </c>
      <c r="E70" s="97">
        <v>0</v>
      </c>
      <c r="F70" s="190"/>
      <c r="G70" s="191"/>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row>
    <row r="71" spans="2:32" ht="24.75" customHeight="1" x14ac:dyDescent="0.35">
      <c r="B71" s="205"/>
      <c r="C71" s="87"/>
      <c r="D71" s="50"/>
      <c r="E71" s="103" t="str">
        <f>IF(SUM(E68:E70)=$E$21,"Check","Error")</f>
        <v>Check</v>
      </c>
      <c r="F71" s="13"/>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2" ht="15" customHeight="1" x14ac:dyDescent="0.35">
      <c r="B72" s="205"/>
      <c r="C72" s="90"/>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row>
    <row r="73" spans="2:32" ht="15" customHeight="1" x14ac:dyDescent="0.35">
      <c r="B73" s="205"/>
      <c r="C73" s="90"/>
      <c r="D73" s="14"/>
      <c r="E73" s="14"/>
      <c r="F73" s="183" t="s">
        <v>237</v>
      </c>
      <c r="G73" s="184"/>
      <c r="H73" s="185"/>
      <c r="I73" s="14"/>
      <c r="J73" s="14"/>
      <c r="K73" s="14"/>
      <c r="L73" s="14"/>
      <c r="M73" s="14"/>
      <c r="N73" s="14"/>
      <c r="O73" s="14"/>
      <c r="P73" s="14"/>
      <c r="Q73" s="14"/>
      <c r="R73" s="14"/>
      <c r="S73" s="14"/>
      <c r="T73" s="14"/>
      <c r="U73" s="14"/>
      <c r="V73" s="14"/>
      <c r="W73" s="14"/>
      <c r="X73" s="14"/>
      <c r="Y73" s="14"/>
      <c r="Z73" s="14"/>
      <c r="AA73" s="14"/>
      <c r="AB73" s="14"/>
      <c r="AC73" s="14"/>
      <c r="AD73" s="14"/>
      <c r="AE73" s="14"/>
      <c r="AF73" s="14"/>
    </row>
    <row r="74" spans="2:32" ht="32.5" customHeight="1" x14ac:dyDescent="0.35">
      <c r="B74" s="205"/>
      <c r="C74" s="76" t="s">
        <v>221</v>
      </c>
      <c r="D74" s="21" t="s">
        <v>153</v>
      </c>
      <c r="E74" s="119" t="s">
        <v>247</v>
      </c>
      <c r="F74" s="119" t="s">
        <v>248</v>
      </c>
      <c r="G74" s="119" t="s">
        <v>238</v>
      </c>
      <c r="H74" s="119" t="s">
        <v>239</v>
      </c>
      <c r="I74" s="14"/>
      <c r="J74" s="14"/>
      <c r="K74" s="14"/>
      <c r="L74" s="14"/>
      <c r="N74" s="14"/>
      <c r="O74" s="14"/>
      <c r="P74" s="14"/>
      <c r="Q74" s="14"/>
      <c r="R74" s="14"/>
      <c r="S74" s="14"/>
      <c r="T74" s="14"/>
      <c r="U74" s="14"/>
      <c r="V74" s="14"/>
      <c r="W74" s="14"/>
      <c r="X74" s="14"/>
      <c r="Y74" s="14"/>
      <c r="Z74" s="14"/>
      <c r="AA74" s="14"/>
      <c r="AB74" s="14"/>
      <c r="AC74" s="14"/>
      <c r="AD74" s="14"/>
      <c r="AE74" s="14"/>
      <c r="AF74" s="14"/>
    </row>
    <row r="75" spans="2:32" ht="23" customHeight="1" x14ac:dyDescent="0.35">
      <c r="B75" s="205"/>
      <c r="C75" s="76"/>
      <c r="D75" s="50" t="s">
        <v>235</v>
      </c>
      <c r="E75" s="141">
        <v>4645488.8792875055</v>
      </c>
      <c r="F75" s="141">
        <v>3065167.649719791</v>
      </c>
      <c r="G75" s="141">
        <v>6225810.1088552205</v>
      </c>
      <c r="H75" s="141"/>
      <c r="I75" s="162" t="s">
        <v>249</v>
      </c>
      <c r="J75" s="163"/>
      <c r="K75" s="14"/>
      <c r="L75" s="14"/>
      <c r="M75" s="14"/>
      <c r="N75" s="14"/>
      <c r="O75" s="14"/>
      <c r="P75" s="14"/>
      <c r="Q75" s="14"/>
      <c r="R75" s="14"/>
      <c r="S75" s="14"/>
      <c r="T75" s="14"/>
      <c r="U75" s="14"/>
      <c r="V75" s="14"/>
      <c r="W75" s="14"/>
      <c r="X75" s="14"/>
      <c r="Y75" s="14"/>
      <c r="Z75" s="14"/>
      <c r="AA75" s="14"/>
      <c r="AB75" s="14"/>
      <c r="AC75" s="14"/>
      <c r="AD75" s="14"/>
      <c r="AE75" s="14"/>
      <c r="AF75" s="14"/>
    </row>
    <row r="76" spans="2:32" ht="23" customHeight="1" x14ac:dyDescent="0.35">
      <c r="B76" s="205"/>
      <c r="C76" s="90"/>
      <c r="D76" s="50" t="s">
        <v>262</v>
      </c>
      <c r="E76" s="141">
        <v>1842730.4733695711</v>
      </c>
      <c r="F76" s="141">
        <v>0</v>
      </c>
      <c r="G76" s="141">
        <v>3685460.9467391423</v>
      </c>
      <c r="H76" s="142"/>
      <c r="I76" s="164"/>
      <c r="J76" s="165"/>
      <c r="K76" s="14"/>
      <c r="L76" s="14"/>
      <c r="M76" s="14"/>
      <c r="N76" s="14"/>
      <c r="O76" s="14"/>
      <c r="P76" s="14"/>
      <c r="Q76" s="14"/>
      <c r="R76" s="14"/>
      <c r="S76" s="14"/>
      <c r="T76" s="14"/>
      <c r="U76" s="14"/>
      <c r="V76" s="14"/>
      <c r="W76" s="14"/>
      <c r="X76" s="14"/>
      <c r="Y76" s="14"/>
      <c r="Z76" s="14"/>
      <c r="AA76" s="14"/>
      <c r="AB76" s="14"/>
      <c r="AC76" s="14"/>
      <c r="AD76" s="14"/>
      <c r="AE76" s="14"/>
      <c r="AF76" s="14"/>
    </row>
    <row r="77" spans="2:32" ht="23" customHeight="1" x14ac:dyDescent="0.35">
      <c r="B77" s="205"/>
      <c r="C77" s="90"/>
      <c r="D77" s="50" t="s">
        <v>263</v>
      </c>
      <c r="E77" s="141">
        <v>2802758.4059179351</v>
      </c>
      <c r="F77" s="141">
        <v>3065167.649719791</v>
      </c>
      <c r="G77" s="141">
        <v>2540349.1621160791</v>
      </c>
      <c r="H77" s="142"/>
      <c r="I77" s="166"/>
      <c r="J77" s="167"/>
      <c r="K77" s="14"/>
      <c r="L77" s="14"/>
      <c r="M77" s="14"/>
      <c r="N77" s="14"/>
      <c r="O77" s="14"/>
      <c r="P77" s="14"/>
      <c r="Q77" s="14"/>
      <c r="R77" s="14"/>
      <c r="S77" s="14"/>
      <c r="T77" s="14"/>
      <c r="U77" s="14"/>
      <c r="V77" s="14"/>
      <c r="W77" s="14"/>
      <c r="X77" s="14"/>
      <c r="Y77" s="14"/>
      <c r="Z77" s="14"/>
      <c r="AA77" s="14"/>
      <c r="AB77" s="14"/>
      <c r="AC77" s="14"/>
      <c r="AD77" s="14"/>
      <c r="AE77" s="14"/>
      <c r="AF77" s="14"/>
    </row>
    <row r="78" spans="2:32" ht="15" customHeight="1" x14ac:dyDescent="0.35">
      <c r="B78" s="205"/>
      <c r="C78" s="90"/>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row>
    <row r="79" spans="2:32" ht="24.5" customHeight="1" x14ac:dyDescent="0.35">
      <c r="B79" s="205"/>
      <c r="C79" s="76" t="s">
        <v>222</v>
      </c>
      <c r="D79" s="21" t="s">
        <v>269</v>
      </c>
      <c r="E79" s="119" t="s">
        <v>290</v>
      </c>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row>
    <row r="80" spans="2:32" ht="24.5" customHeight="1" x14ac:dyDescent="0.35">
      <c r="B80" s="205"/>
      <c r="C80" s="90"/>
      <c r="D80" s="50" t="s">
        <v>155</v>
      </c>
      <c r="E80" s="109">
        <v>0.19794033041411563</v>
      </c>
      <c r="F80" s="162" t="s">
        <v>266</v>
      </c>
      <c r="G80" s="187"/>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row>
    <row r="81" spans="2:32" ht="24.5" customHeight="1" x14ac:dyDescent="0.35">
      <c r="B81" s="205"/>
      <c r="C81" s="90"/>
      <c r="D81" s="50" t="s">
        <v>154</v>
      </c>
      <c r="E81" s="109">
        <v>0.1966903304141156</v>
      </c>
      <c r="F81" s="188"/>
      <c r="G81" s="189"/>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row>
    <row r="82" spans="2:32" ht="24.5" customHeight="1" x14ac:dyDescent="0.35">
      <c r="B82" s="205"/>
      <c r="C82" s="90"/>
      <c r="D82" s="50" t="s">
        <v>156</v>
      </c>
      <c r="E82" s="109">
        <v>0</v>
      </c>
      <c r="F82" s="188"/>
      <c r="G82" s="189"/>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row>
    <row r="83" spans="2:32" ht="24.5" customHeight="1" x14ac:dyDescent="0.35">
      <c r="B83" s="205"/>
      <c r="C83" s="90"/>
      <c r="D83" s="50" t="s">
        <v>157</v>
      </c>
      <c r="E83" s="109">
        <v>0.357263535288951</v>
      </c>
      <c r="F83" s="188"/>
      <c r="G83" s="189"/>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row>
    <row r="84" spans="2:32" ht="24.5" customHeight="1" x14ac:dyDescent="0.35">
      <c r="B84" s="205"/>
      <c r="C84" s="90"/>
      <c r="D84" s="50" t="s">
        <v>158</v>
      </c>
      <c r="E84" s="109">
        <v>0</v>
      </c>
      <c r="F84" s="188"/>
      <c r="G84" s="189"/>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row>
    <row r="85" spans="2:32" ht="24.5" customHeight="1" x14ac:dyDescent="0.35">
      <c r="B85" s="205"/>
      <c r="C85" s="90"/>
      <c r="D85" s="50" t="s">
        <v>270</v>
      </c>
      <c r="E85" s="109">
        <v>0.12155939886934135</v>
      </c>
      <c r="F85" s="188"/>
      <c r="G85" s="189"/>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row>
    <row r="86" spans="2:32" ht="24.5" customHeight="1" x14ac:dyDescent="0.35">
      <c r="B86" s="205"/>
      <c r="C86" s="90"/>
      <c r="D86" s="50" t="s">
        <v>271</v>
      </c>
      <c r="E86" s="109">
        <v>0.12654640501347666</v>
      </c>
      <c r="F86" s="188"/>
      <c r="G86" s="189"/>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row>
    <row r="87" spans="2:32" ht="24.5" customHeight="1" x14ac:dyDescent="0.35">
      <c r="B87" s="205"/>
      <c r="C87" s="90"/>
      <c r="D87" s="50" t="s">
        <v>272</v>
      </c>
      <c r="E87" s="109">
        <v>0</v>
      </c>
      <c r="F87" s="188"/>
      <c r="G87" s="189"/>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2:32" ht="24.5" customHeight="1" x14ac:dyDescent="0.35">
      <c r="B88" s="205"/>
      <c r="C88" s="90"/>
      <c r="D88" s="50" t="s">
        <v>159</v>
      </c>
      <c r="E88" s="109">
        <v>0</v>
      </c>
      <c r="F88" s="190"/>
      <c r="G88" s="191"/>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row>
    <row r="89" spans="2:32" ht="15" customHeight="1" x14ac:dyDescent="0.35">
      <c r="B89" s="205"/>
      <c r="C89" s="90"/>
      <c r="E89" s="103" t="str">
        <f>IF(SUM(E80:E88)=1,"Check","Error")</f>
        <v>Check</v>
      </c>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row>
    <row r="90" spans="2:32" ht="15" customHeight="1" x14ac:dyDescent="0.35">
      <c r="B90" s="205"/>
      <c r="C90" s="90"/>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row>
    <row r="91" spans="2:32" ht="24.5" customHeight="1" x14ac:dyDescent="0.35">
      <c r="B91" s="205"/>
      <c r="C91" s="76" t="s">
        <v>223</v>
      </c>
      <c r="D91" s="21" t="s">
        <v>268</v>
      </c>
      <c r="E91" s="119" t="s">
        <v>290</v>
      </c>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row>
    <row r="92" spans="2:32" ht="24.5" customHeight="1" x14ac:dyDescent="0.35">
      <c r="B92" s="205"/>
      <c r="C92" s="90"/>
      <c r="D92" s="50" t="s">
        <v>291</v>
      </c>
      <c r="E92" s="109">
        <v>0.14550250398524492</v>
      </c>
      <c r="F92" s="162" t="s">
        <v>265</v>
      </c>
      <c r="G92" s="187"/>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row>
    <row r="93" spans="2:32" ht="24.5" customHeight="1" x14ac:dyDescent="0.35">
      <c r="B93" s="205"/>
      <c r="C93" s="90"/>
      <c r="D93" s="50" t="s">
        <v>292</v>
      </c>
      <c r="E93" s="109">
        <v>0.16884427891235299</v>
      </c>
      <c r="F93" s="188"/>
      <c r="G93" s="189"/>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row>
    <row r="94" spans="2:32" ht="24.5" customHeight="1" x14ac:dyDescent="0.35">
      <c r="B94" s="205"/>
      <c r="C94" s="90"/>
      <c r="D94" s="50" t="s">
        <v>293</v>
      </c>
      <c r="E94" s="109">
        <v>0</v>
      </c>
      <c r="F94" s="188"/>
      <c r="G94" s="189"/>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row>
    <row r="95" spans="2:32" ht="24.5" customHeight="1" x14ac:dyDescent="0.35">
      <c r="B95" s="205"/>
      <c r="C95" s="90"/>
      <c r="D95" s="50" t="s">
        <v>294</v>
      </c>
      <c r="E95" s="109">
        <v>0.56226532697053333</v>
      </c>
      <c r="F95" s="188"/>
      <c r="G95" s="189"/>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row>
    <row r="96" spans="2:32" ht="24.5" customHeight="1" x14ac:dyDescent="0.35">
      <c r="B96" s="205"/>
      <c r="C96" s="90"/>
      <c r="D96" s="50" t="s">
        <v>295</v>
      </c>
      <c r="E96" s="109">
        <v>0</v>
      </c>
      <c r="F96" s="188"/>
      <c r="G96" s="189"/>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row>
    <row r="97" spans="2:32" ht="24.5" customHeight="1" x14ac:dyDescent="0.35">
      <c r="B97" s="205"/>
      <c r="C97" s="90"/>
      <c r="D97" s="50" t="s">
        <v>296</v>
      </c>
      <c r="E97" s="109">
        <v>3.0702373558854312E-2</v>
      </c>
      <c r="F97" s="188"/>
      <c r="G97" s="189"/>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row>
    <row r="98" spans="2:32" ht="24.5" customHeight="1" x14ac:dyDescent="0.35">
      <c r="B98" s="205"/>
      <c r="C98" s="90"/>
      <c r="D98" s="50" t="s">
        <v>297</v>
      </c>
      <c r="E98" s="109">
        <v>9.2685516573014604E-2</v>
      </c>
      <c r="F98" s="188"/>
      <c r="G98" s="189"/>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row>
    <row r="99" spans="2:32" ht="24.5" customHeight="1" x14ac:dyDescent="0.35">
      <c r="B99" s="205"/>
      <c r="C99" s="90"/>
      <c r="D99" s="50" t="s">
        <v>298</v>
      </c>
      <c r="E99" s="109">
        <v>0</v>
      </c>
      <c r="F99" s="188"/>
      <c r="G99" s="189"/>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row>
    <row r="100" spans="2:32" ht="24.5" customHeight="1" x14ac:dyDescent="0.35">
      <c r="B100" s="205"/>
      <c r="C100" s="90"/>
      <c r="D100" s="50" t="s">
        <v>299</v>
      </c>
      <c r="E100" s="109">
        <v>0</v>
      </c>
      <c r="F100" s="190"/>
      <c r="G100" s="191"/>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row>
    <row r="101" spans="2:32" ht="15" customHeight="1" x14ac:dyDescent="0.35">
      <c r="B101" s="205"/>
      <c r="C101" s="90"/>
      <c r="E101" s="103" t="str">
        <f>IF(SUM(E92:E100)=1,"Check","Error")</f>
        <v>Check</v>
      </c>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row>
    <row r="102" spans="2:32" ht="14.5" customHeight="1" x14ac:dyDescent="0.35">
      <c r="B102" s="47"/>
      <c r="D102" s="47"/>
      <c r="E102" s="47"/>
      <c r="F102" s="47"/>
      <c r="G102" s="47"/>
    </row>
    <row r="103" spans="2:32" x14ac:dyDescent="0.35">
      <c r="B103" s="14"/>
      <c r="D103" s="14"/>
    </row>
    <row r="104" spans="2:32" ht="24" customHeight="1" x14ac:dyDescent="0.35">
      <c r="B104" s="205" t="s">
        <v>98</v>
      </c>
      <c r="C104" s="90"/>
      <c r="E104" s="176" t="s">
        <v>9</v>
      </c>
      <c r="F104" s="176"/>
      <c r="G104" s="176"/>
    </row>
    <row r="105" spans="2:32" ht="24" customHeight="1" x14ac:dyDescent="0.35">
      <c r="B105" s="205"/>
      <c r="C105" s="76" t="s">
        <v>224</v>
      </c>
      <c r="D105" s="21" t="s">
        <v>33</v>
      </c>
      <c r="H105" s="212"/>
    </row>
    <row r="106" spans="2:32" ht="44.5" customHeight="1" x14ac:dyDescent="0.35">
      <c r="B106" s="205"/>
      <c r="C106" s="90"/>
      <c r="D106" s="94" t="s">
        <v>56</v>
      </c>
      <c r="E106" s="201" t="s">
        <v>365</v>
      </c>
      <c r="F106" s="201"/>
      <c r="G106" s="201"/>
      <c r="H106" s="213"/>
    </row>
    <row r="107" spans="2:32" ht="44.5" customHeight="1" x14ac:dyDescent="0.35">
      <c r="B107" s="205"/>
      <c r="C107" s="90"/>
      <c r="D107" s="94" t="s">
        <v>55</v>
      </c>
      <c r="E107" s="201" t="s">
        <v>366</v>
      </c>
      <c r="F107" s="201"/>
      <c r="G107" s="201"/>
      <c r="H107" s="213"/>
    </row>
    <row r="108" spans="2:32" ht="44.5" customHeight="1" x14ac:dyDescent="0.35">
      <c r="B108" s="205"/>
      <c r="C108" s="90"/>
      <c r="D108" s="94" t="s">
        <v>54</v>
      </c>
      <c r="E108" s="201" t="s">
        <v>367</v>
      </c>
      <c r="F108" s="201"/>
      <c r="G108" s="201"/>
      <c r="H108" s="213"/>
    </row>
    <row r="109" spans="2:32" ht="44.5" customHeight="1" x14ac:dyDescent="0.35">
      <c r="B109" s="205"/>
      <c r="C109" s="90"/>
      <c r="D109" s="94" t="s">
        <v>57</v>
      </c>
      <c r="E109" s="201" t="s">
        <v>368</v>
      </c>
      <c r="F109" s="201"/>
      <c r="G109" s="201"/>
      <c r="H109" s="213"/>
    </row>
    <row r="110" spans="2:32" ht="44.5" customHeight="1" x14ac:dyDescent="0.35">
      <c r="B110" s="205"/>
      <c r="C110" s="90"/>
      <c r="D110" s="94" t="s">
        <v>58</v>
      </c>
      <c r="E110" s="201" t="s">
        <v>369</v>
      </c>
      <c r="F110" s="201"/>
      <c r="G110" s="201"/>
      <c r="H110" s="213"/>
    </row>
    <row r="111" spans="2:32" ht="44.5" customHeight="1" x14ac:dyDescent="0.35">
      <c r="B111" s="205"/>
      <c r="C111" s="90"/>
      <c r="D111" s="94" t="s">
        <v>59</v>
      </c>
      <c r="E111" s="201" t="s">
        <v>465</v>
      </c>
      <c r="F111" s="201"/>
      <c r="G111" s="201"/>
      <c r="H111" s="213"/>
    </row>
    <row r="112" spans="2:32" ht="44.5" customHeight="1" x14ac:dyDescent="0.35">
      <c r="B112" s="205"/>
      <c r="C112" s="90"/>
      <c r="D112" s="94" t="s">
        <v>66</v>
      </c>
      <c r="E112" s="201" t="s">
        <v>370</v>
      </c>
      <c r="F112" s="201"/>
      <c r="G112" s="201"/>
      <c r="H112" s="213"/>
    </row>
    <row r="113" spans="2:8" ht="44.5" customHeight="1" x14ac:dyDescent="0.35">
      <c r="B113" s="205"/>
      <c r="C113" s="90"/>
      <c r="D113" s="95" t="s">
        <v>67</v>
      </c>
      <c r="E113" s="206" t="s">
        <v>466</v>
      </c>
      <c r="F113" s="206"/>
      <c r="G113" s="206"/>
      <c r="H113" s="213"/>
    </row>
    <row r="114" spans="2:8" ht="13.75" customHeight="1" x14ac:dyDescent="0.35">
      <c r="B114" s="207"/>
      <c r="C114" s="90"/>
    </row>
    <row r="115" spans="2:8" s="25" customFormat="1" x14ac:dyDescent="0.35">
      <c r="B115" s="65"/>
      <c r="C115" s="89"/>
    </row>
    <row r="116" spans="2:8" s="25" customFormat="1" x14ac:dyDescent="0.35">
      <c r="B116" s="66"/>
      <c r="C116" s="89"/>
    </row>
    <row r="117" spans="2:8" s="25" customFormat="1" ht="24" customHeight="1" x14ac:dyDescent="0.35">
      <c r="B117" s="204" t="s">
        <v>160</v>
      </c>
      <c r="C117" s="90"/>
      <c r="D117" s="104"/>
      <c r="E117" s="113" t="s">
        <v>76</v>
      </c>
    </row>
    <row r="118" spans="2:8" s="25" customFormat="1" ht="24" customHeight="1" x14ac:dyDescent="0.35">
      <c r="B118" s="205"/>
      <c r="C118" s="76" t="s">
        <v>225</v>
      </c>
      <c r="D118" s="25" t="s">
        <v>161</v>
      </c>
      <c r="E118" s="108">
        <v>16</v>
      </c>
    </row>
    <row r="119" spans="2:8" s="25" customFormat="1" ht="24" customHeight="1" x14ac:dyDescent="0.35">
      <c r="B119" s="205"/>
      <c r="C119" s="90"/>
      <c r="E119" s="118"/>
    </row>
    <row r="120" spans="2:8" s="25" customFormat="1" ht="38" customHeight="1" x14ac:dyDescent="0.35">
      <c r="B120" s="205"/>
      <c r="C120" s="90"/>
      <c r="D120" s="104"/>
      <c r="E120" s="115" t="s">
        <v>236</v>
      </c>
      <c r="F120" s="115" t="s">
        <v>597</v>
      </c>
      <c r="G120" s="115" t="s">
        <v>598</v>
      </c>
    </row>
    <row r="121" spans="2:8" s="25" customFormat="1" ht="24.5" customHeight="1" x14ac:dyDescent="0.35">
      <c r="B121" s="205"/>
      <c r="C121" s="76" t="s">
        <v>226</v>
      </c>
      <c r="D121" s="25" t="s">
        <v>162</v>
      </c>
      <c r="E121" s="141">
        <v>1376250</v>
      </c>
      <c r="F121" s="141">
        <v>2852500</v>
      </c>
      <c r="G121" s="141">
        <v>149768.11111111112</v>
      </c>
    </row>
    <row r="122" spans="2:8" s="25" customFormat="1" x14ac:dyDescent="0.35">
      <c r="B122" s="205"/>
      <c r="C122" s="90"/>
    </row>
    <row r="123" spans="2:8" s="25" customFormat="1" ht="24.5" customHeight="1" x14ac:dyDescent="0.35">
      <c r="B123" s="205"/>
      <c r="C123" s="76" t="s">
        <v>227</v>
      </c>
      <c r="D123" s="67" t="s">
        <v>163</v>
      </c>
      <c r="E123" s="113" t="s">
        <v>76</v>
      </c>
    </row>
    <row r="124" spans="2:8" s="25" customFormat="1" ht="24.5" customHeight="1" x14ac:dyDescent="0.35">
      <c r="B124" s="205"/>
      <c r="C124" s="90"/>
      <c r="D124" s="68" t="s">
        <v>275</v>
      </c>
      <c r="E124" s="105">
        <v>0</v>
      </c>
      <c r="F124" s="168" t="s">
        <v>242</v>
      </c>
      <c r="G124" s="169"/>
    </row>
    <row r="125" spans="2:8" s="25" customFormat="1" ht="24.5" customHeight="1" x14ac:dyDescent="0.35">
      <c r="B125" s="205"/>
      <c r="C125" s="90"/>
      <c r="D125" s="68" t="s">
        <v>164</v>
      </c>
      <c r="E125" s="105">
        <v>10</v>
      </c>
      <c r="F125" s="170"/>
      <c r="G125" s="171"/>
    </row>
    <row r="126" spans="2:8" s="25" customFormat="1" ht="24.5" customHeight="1" x14ac:dyDescent="0.35">
      <c r="B126" s="205"/>
      <c r="C126" s="90"/>
      <c r="D126" s="68" t="s">
        <v>165</v>
      </c>
      <c r="E126" s="105">
        <v>6</v>
      </c>
      <c r="F126" s="170"/>
      <c r="G126" s="171"/>
    </row>
    <row r="127" spans="2:8" s="25" customFormat="1" ht="24.5" customHeight="1" x14ac:dyDescent="0.35">
      <c r="B127" s="205"/>
      <c r="C127" s="90"/>
      <c r="D127" s="68" t="s">
        <v>166</v>
      </c>
      <c r="E127" s="105">
        <v>19</v>
      </c>
      <c r="F127" s="170"/>
      <c r="G127" s="171"/>
    </row>
    <row r="128" spans="2:8" s="25" customFormat="1" ht="24.5" customHeight="1" x14ac:dyDescent="0.35">
      <c r="B128" s="205"/>
      <c r="C128" s="90"/>
      <c r="D128" s="68" t="s">
        <v>167</v>
      </c>
      <c r="E128" s="105">
        <v>5</v>
      </c>
      <c r="F128" s="172"/>
      <c r="G128" s="173"/>
    </row>
    <row r="129" spans="1:53" s="25" customFormat="1" x14ac:dyDescent="0.35">
      <c r="B129" s="205"/>
      <c r="C129" s="90"/>
      <c r="E129" s="103" t="str">
        <f>IF(SUM(E124:E128)=$E$21,"Check","Error")</f>
        <v>Check</v>
      </c>
    </row>
    <row r="130" spans="1:53" s="25" customFormat="1" x14ac:dyDescent="0.35">
      <c r="B130" s="66"/>
      <c r="C130" s="89"/>
    </row>
    <row r="131" spans="1:53" s="25" customFormat="1" x14ac:dyDescent="0.35">
      <c r="B131" s="66"/>
      <c r="C131" s="89"/>
    </row>
    <row r="132" spans="1:53" s="69" customFormat="1" ht="24" customHeight="1" x14ac:dyDescent="0.35">
      <c r="A132" s="1"/>
      <c r="B132" s="204" t="s">
        <v>257</v>
      </c>
      <c r="C132" s="90"/>
      <c r="D132" s="25"/>
      <c r="E132" s="113" t="s">
        <v>236</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1:53" ht="24" customHeight="1" x14ac:dyDescent="0.35">
      <c r="B133" s="205"/>
      <c r="C133" s="76" t="s">
        <v>228</v>
      </c>
      <c r="D133" s="25" t="s">
        <v>168</v>
      </c>
      <c r="E133" s="141">
        <v>3846812.5</v>
      </c>
    </row>
    <row r="134" spans="1:53" x14ac:dyDescent="0.35">
      <c r="B134" s="205"/>
      <c r="C134" s="90"/>
      <c r="D134" s="25"/>
    </row>
    <row r="135" spans="1:53" ht="24" customHeight="1" x14ac:dyDescent="0.35">
      <c r="B135" s="205"/>
      <c r="C135" s="76" t="s">
        <v>229</v>
      </c>
      <c r="D135" s="21" t="s">
        <v>170</v>
      </c>
      <c r="E135" s="116" t="s">
        <v>18</v>
      </c>
      <c r="F135" s="112" t="s">
        <v>19</v>
      </c>
      <c r="G135" s="112" t="s">
        <v>62</v>
      </c>
    </row>
    <row r="136" spans="1:53" ht="24" customHeight="1" x14ac:dyDescent="0.35">
      <c r="B136" s="205"/>
      <c r="C136" s="90"/>
      <c r="D136" s="70" t="s">
        <v>12</v>
      </c>
      <c r="E136" s="106">
        <v>0.32500000000000001</v>
      </c>
      <c r="F136" s="106">
        <v>0.67500000000000004</v>
      </c>
      <c r="G136" s="107">
        <v>0</v>
      </c>
      <c r="H136" s="216" t="s">
        <v>258</v>
      </c>
      <c r="I136" s="217"/>
      <c r="J136" s="25"/>
    </row>
    <row r="137" spans="1:53" ht="24" customHeight="1" x14ac:dyDescent="0.35">
      <c r="B137" s="205"/>
      <c r="C137" s="90"/>
      <c r="D137" s="70" t="s">
        <v>13</v>
      </c>
      <c r="E137" s="106">
        <v>0.67500000000000004</v>
      </c>
      <c r="F137" s="106">
        <v>0.32499999999999996</v>
      </c>
      <c r="G137" s="107">
        <v>0</v>
      </c>
      <c r="H137" s="218"/>
      <c r="I137" s="219"/>
      <c r="J137" s="25"/>
    </row>
    <row r="138" spans="1:53" ht="24" customHeight="1" x14ac:dyDescent="0.35">
      <c r="B138" s="205"/>
      <c r="C138" s="90"/>
      <c r="D138" s="70" t="s">
        <v>14</v>
      </c>
      <c r="E138" s="106">
        <v>0.97499999999999998</v>
      </c>
      <c r="F138" s="106">
        <v>2.5000000000000022E-2</v>
      </c>
      <c r="G138" s="107">
        <v>0</v>
      </c>
      <c r="H138" s="218"/>
      <c r="I138" s="219"/>
      <c r="J138" s="25"/>
    </row>
    <row r="139" spans="1:53" ht="24" customHeight="1" x14ac:dyDescent="0.35">
      <c r="B139" s="205"/>
      <c r="C139" s="90"/>
      <c r="D139" s="70" t="s">
        <v>15</v>
      </c>
      <c r="E139" s="106">
        <v>0.45</v>
      </c>
      <c r="F139" s="106">
        <v>0.55000000000000004</v>
      </c>
      <c r="G139" s="107">
        <v>0</v>
      </c>
      <c r="H139" s="218"/>
      <c r="I139" s="219"/>
      <c r="J139" s="25"/>
    </row>
    <row r="140" spans="1:53" ht="24" customHeight="1" x14ac:dyDescent="0.35">
      <c r="B140" s="205"/>
      <c r="C140" s="90"/>
      <c r="D140" s="70" t="s">
        <v>16</v>
      </c>
      <c r="E140" s="106">
        <v>0.97499999999999998</v>
      </c>
      <c r="F140" s="106">
        <v>2.5000000000000022E-2</v>
      </c>
      <c r="G140" s="107">
        <v>0</v>
      </c>
      <c r="H140" s="218"/>
      <c r="I140" s="219"/>
      <c r="J140" s="25"/>
    </row>
    <row r="141" spans="1:53" ht="24" customHeight="1" x14ac:dyDescent="0.35">
      <c r="B141" s="205"/>
      <c r="C141" s="90"/>
      <c r="D141" s="70" t="s">
        <v>17</v>
      </c>
      <c r="E141" s="106">
        <v>7.4999999999999997E-2</v>
      </c>
      <c r="F141" s="106">
        <v>0.92500000000000004</v>
      </c>
      <c r="G141" s="107">
        <v>0</v>
      </c>
      <c r="H141" s="218"/>
      <c r="I141" s="219"/>
      <c r="J141" s="25"/>
    </row>
    <row r="142" spans="1:53" ht="24" customHeight="1" x14ac:dyDescent="0.35">
      <c r="B142" s="205"/>
      <c r="C142" s="90"/>
      <c r="D142" s="70" t="s">
        <v>300</v>
      </c>
      <c r="E142" s="106">
        <v>0.17499999999999999</v>
      </c>
      <c r="F142" s="106">
        <v>0.82499999999999996</v>
      </c>
      <c r="G142" s="107">
        <v>0</v>
      </c>
      <c r="H142" s="218"/>
      <c r="I142" s="219"/>
      <c r="J142" s="25"/>
    </row>
    <row r="143" spans="1:53" ht="24" customHeight="1" x14ac:dyDescent="0.35">
      <c r="B143" s="205"/>
      <c r="C143" s="90"/>
      <c r="D143" s="70" t="s">
        <v>301</v>
      </c>
      <c r="E143" s="106">
        <v>7.4999999999999997E-2</v>
      </c>
      <c r="F143" s="106">
        <v>0.92500000000000004</v>
      </c>
      <c r="G143" s="107">
        <v>0</v>
      </c>
      <c r="H143" s="220"/>
      <c r="I143" s="221"/>
      <c r="J143" s="25"/>
    </row>
    <row r="144" spans="1:53" x14ac:dyDescent="0.35">
      <c r="B144" s="205"/>
      <c r="C144" s="90"/>
      <c r="E144" s="114"/>
      <c r="F144" s="114"/>
      <c r="G144" s="114"/>
      <c r="H144" s="71"/>
      <c r="J144" s="25"/>
    </row>
    <row r="145" spans="2:9" ht="24" customHeight="1" x14ac:dyDescent="0.35">
      <c r="B145" s="205"/>
      <c r="C145" s="76" t="s">
        <v>230</v>
      </c>
      <c r="D145" s="21" t="s">
        <v>169</v>
      </c>
      <c r="E145" s="116" t="s">
        <v>18</v>
      </c>
      <c r="F145" s="112" t="s">
        <v>19</v>
      </c>
      <c r="G145" s="112" t="s">
        <v>52</v>
      </c>
      <c r="H145" s="71"/>
    </row>
    <row r="146" spans="2:9" ht="24" customHeight="1" x14ac:dyDescent="0.35">
      <c r="B146" s="205"/>
      <c r="C146" s="90"/>
      <c r="D146" s="120" t="s">
        <v>20</v>
      </c>
      <c r="E146" s="106">
        <v>0.97499999999999998</v>
      </c>
      <c r="F146" s="106">
        <v>2.5000000000000022E-2</v>
      </c>
      <c r="G146" s="107">
        <v>0</v>
      </c>
      <c r="H146" s="216" t="s">
        <v>258</v>
      </c>
      <c r="I146" s="217"/>
    </row>
    <row r="147" spans="2:9" ht="24" customHeight="1" x14ac:dyDescent="0.35">
      <c r="B147" s="205"/>
      <c r="C147" s="90"/>
      <c r="D147" s="120" t="s">
        <v>21</v>
      </c>
      <c r="E147" s="106">
        <v>1</v>
      </c>
      <c r="F147" s="106">
        <v>0</v>
      </c>
      <c r="G147" s="107">
        <v>0</v>
      </c>
      <c r="H147" s="218"/>
      <c r="I147" s="219"/>
    </row>
    <row r="148" spans="2:9" ht="24" customHeight="1" x14ac:dyDescent="0.35">
      <c r="B148" s="205"/>
      <c r="C148" s="90"/>
      <c r="D148" s="120" t="s">
        <v>22</v>
      </c>
      <c r="E148" s="106">
        <v>0.7</v>
      </c>
      <c r="F148" s="106">
        <v>0.30000000000000004</v>
      </c>
      <c r="G148" s="107">
        <v>0</v>
      </c>
      <c r="H148" s="218"/>
      <c r="I148" s="219"/>
    </row>
    <row r="149" spans="2:9" ht="24" customHeight="1" x14ac:dyDescent="0.35">
      <c r="B149" s="205"/>
      <c r="C149" s="90"/>
      <c r="D149" s="120" t="s">
        <v>23</v>
      </c>
      <c r="E149" s="106">
        <v>0.375</v>
      </c>
      <c r="F149" s="106">
        <v>0.625</v>
      </c>
      <c r="G149" s="107">
        <v>0</v>
      </c>
      <c r="H149" s="218"/>
      <c r="I149" s="219"/>
    </row>
    <row r="150" spans="2:9" ht="24" customHeight="1" x14ac:dyDescent="0.35">
      <c r="B150" s="205"/>
      <c r="C150" s="90"/>
      <c r="D150" s="120" t="s">
        <v>24</v>
      </c>
      <c r="E150" s="106">
        <v>0.85</v>
      </c>
      <c r="F150" s="106">
        <v>0.15000000000000002</v>
      </c>
      <c r="G150" s="107">
        <v>0</v>
      </c>
      <c r="H150" s="218"/>
      <c r="I150" s="219"/>
    </row>
    <row r="151" spans="2:9" ht="24" customHeight="1" x14ac:dyDescent="0.35">
      <c r="B151" s="205"/>
      <c r="C151" s="90"/>
      <c r="D151" s="120" t="s">
        <v>25</v>
      </c>
      <c r="E151" s="106">
        <v>0.22500000000000001</v>
      </c>
      <c r="F151" s="106">
        <v>0.77500000000000002</v>
      </c>
      <c r="G151" s="107">
        <v>0</v>
      </c>
      <c r="H151" s="218"/>
      <c r="I151" s="219"/>
    </row>
    <row r="152" spans="2:9" ht="24" customHeight="1" x14ac:dyDescent="0.35">
      <c r="B152" s="205"/>
      <c r="C152" s="90"/>
      <c r="D152" s="120" t="s">
        <v>26</v>
      </c>
      <c r="E152" s="106">
        <v>0.77500000000000002</v>
      </c>
      <c r="F152" s="106">
        <v>0.22499999999999998</v>
      </c>
      <c r="G152" s="107">
        <v>0</v>
      </c>
      <c r="H152" s="218"/>
      <c r="I152" s="219"/>
    </row>
    <row r="153" spans="2:9" ht="24" customHeight="1" x14ac:dyDescent="0.35">
      <c r="B153" s="205"/>
      <c r="C153" s="90"/>
      <c r="D153" s="120" t="s">
        <v>302</v>
      </c>
      <c r="E153" s="106">
        <v>0.2</v>
      </c>
      <c r="F153" s="106">
        <v>0.8</v>
      </c>
      <c r="G153" s="107">
        <v>0</v>
      </c>
      <c r="H153" s="220"/>
      <c r="I153" s="221"/>
    </row>
    <row r="154" spans="2:9" ht="15" customHeight="1" x14ac:dyDescent="0.35">
      <c r="B154" s="205"/>
      <c r="C154" s="90"/>
      <c r="E154" s="114"/>
      <c r="F154" s="114"/>
      <c r="G154" s="114"/>
      <c r="I154" s="25"/>
    </row>
    <row r="155" spans="2:9" ht="24" customHeight="1" x14ac:dyDescent="0.35">
      <c r="B155" s="205"/>
      <c r="C155" s="90"/>
      <c r="E155" s="113" t="s">
        <v>234</v>
      </c>
      <c r="F155" s="114"/>
      <c r="G155" s="114"/>
      <c r="I155" s="25"/>
    </row>
    <row r="156" spans="2:9" ht="24" customHeight="1" x14ac:dyDescent="0.35">
      <c r="B156" s="205"/>
      <c r="C156" s="76" t="s">
        <v>231</v>
      </c>
      <c r="D156" s="1" t="s">
        <v>267</v>
      </c>
      <c r="E156" s="144">
        <v>18.263157894736842</v>
      </c>
      <c r="F156" s="114"/>
      <c r="G156" s="114"/>
      <c r="I156" s="25"/>
    </row>
    <row r="157" spans="2:9" ht="15" customHeight="1" x14ac:dyDescent="0.35">
      <c r="B157" s="205"/>
      <c r="C157" s="90"/>
      <c r="E157" s="114"/>
      <c r="F157" s="114"/>
      <c r="G157" s="114"/>
      <c r="I157" s="25"/>
    </row>
    <row r="158" spans="2:9" ht="24" customHeight="1" x14ac:dyDescent="0.35">
      <c r="B158" s="205"/>
      <c r="C158" s="90"/>
      <c r="E158" s="113" t="s">
        <v>76</v>
      </c>
      <c r="F158" s="114"/>
      <c r="G158" s="114"/>
      <c r="I158" s="25"/>
    </row>
    <row r="159" spans="2:9" ht="24" customHeight="1" x14ac:dyDescent="0.35">
      <c r="B159" s="205"/>
      <c r="C159" s="76" t="s">
        <v>232</v>
      </c>
      <c r="D159" s="1" t="s">
        <v>233</v>
      </c>
      <c r="E159" s="97">
        <v>5</v>
      </c>
      <c r="F159" s="114"/>
      <c r="G159" s="114"/>
      <c r="I159" s="25"/>
    </row>
    <row r="160" spans="2:9" ht="15" customHeight="1" x14ac:dyDescent="0.35">
      <c r="B160" s="205"/>
      <c r="C160" s="1"/>
    </row>
    <row r="161" spans="1:64" x14ac:dyDescent="0.35">
      <c r="B161" s="22"/>
      <c r="C161" s="90"/>
    </row>
    <row r="162" spans="1:64" ht="14.5" thickBot="1" x14ac:dyDescent="0.4">
      <c r="A162" s="38"/>
      <c r="B162" s="23"/>
      <c r="C162" s="91"/>
      <c r="D162" s="34"/>
      <c r="E162" s="34"/>
      <c r="F162" s="34"/>
      <c r="G162" s="34"/>
      <c r="H162" s="34"/>
      <c r="I162" s="34"/>
      <c r="J162" s="34"/>
      <c r="K162" s="34"/>
    </row>
    <row r="163" spans="1:64" x14ac:dyDescent="0.35">
      <c r="A163" s="39"/>
      <c r="B163" s="22"/>
      <c r="C163" s="90"/>
    </row>
    <row r="164" spans="1:64" ht="25" x14ac:dyDescent="0.35">
      <c r="B164" s="72" t="s">
        <v>61</v>
      </c>
      <c r="C164" s="72"/>
      <c r="D164" s="57"/>
      <c r="E164" s="57"/>
      <c r="F164" s="57"/>
      <c r="G164" s="57"/>
      <c r="H164" s="57"/>
      <c r="I164" s="57"/>
      <c r="J164" s="57"/>
    </row>
    <row r="165" spans="1:64" ht="26" customHeight="1" x14ac:dyDescent="0.35">
      <c r="B165" s="40" t="s">
        <v>32</v>
      </c>
      <c r="C165" s="40"/>
      <c r="D165" s="102" t="s">
        <v>259</v>
      </c>
      <c r="E165" s="45"/>
      <c r="F165" s="45"/>
      <c r="G165" s="45"/>
      <c r="H165" s="45"/>
      <c r="I165" s="45"/>
      <c r="J165" s="45"/>
    </row>
    <row r="166" spans="1:64" ht="26" customHeight="1" x14ac:dyDescent="0.35">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row>
    <row r="167" spans="1:64" s="63" customFormat="1" ht="32" customHeight="1" x14ac:dyDescent="0.35">
      <c r="A167" s="25"/>
      <c r="B167" s="204" t="s">
        <v>85</v>
      </c>
      <c r="C167" s="90"/>
      <c r="D167" s="25"/>
      <c r="E167" s="115" t="s">
        <v>100</v>
      </c>
      <c r="F167" s="214" t="s">
        <v>60</v>
      </c>
      <c r="G167" s="215"/>
      <c r="H167" s="215"/>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row>
    <row r="168" spans="1:64" s="63" customFormat="1" ht="34" customHeight="1" x14ac:dyDescent="0.35">
      <c r="A168" s="25"/>
      <c r="B168" s="208"/>
      <c r="C168" s="92"/>
      <c r="D168" s="25" t="s">
        <v>53</v>
      </c>
      <c r="E168" s="145">
        <v>1.4374156416695295E-4</v>
      </c>
      <c r="F168" s="209" t="s">
        <v>111</v>
      </c>
      <c r="G168" s="210"/>
      <c r="H168" s="211"/>
      <c r="I168" s="73"/>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row>
    <row r="169" spans="1:64" s="25" customFormat="1" ht="13.25" customHeight="1" x14ac:dyDescent="0.35">
      <c r="B169" s="1"/>
      <c r="C169" s="89"/>
      <c r="D169" s="1"/>
      <c r="E169" s="1"/>
      <c r="F169" s="1"/>
      <c r="G169" s="1"/>
      <c r="H169" s="1"/>
      <c r="I169" s="48"/>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row>
    <row r="170" spans="1:64" s="25" customFormat="1" ht="13.25" customHeight="1" x14ac:dyDescent="0.35">
      <c r="B170" s="1"/>
      <c r="C170" s="89"/>
      <c r="D170" s="1"/>
      <c r="E170" s="1"/>
      <c r="F170" s="1"/>
      <c r="G170" s="1"/>
      <c r="H170" s="1"/>
      <c r="I170" s="1"/>
      <c r="J170" s="1"/>
      <c r="K170" s="1"/>
    </row>
    <row r="171" spans="1:64" s="25" customFormat="1" ht="13" customHeight="1" x14ac:dyDescent="0.35">
      <c r="B171" s="223" t="s">
        <v>47</v>
      </c>
      <c r="C171" s="92"/>
      <c r="D171" s="1"/>
      <c r="E171" s="1"/>
      <c r="F171" s="1"/>
      <c r="G171" s="1"/>
      <c r="H171" s="1"/>
      <c r="I171" s="1"/>
      <c r="J171" s="1"/>
      <c r="K171" s="1"/>
    </row>
    <row r="172" spans="1:64" ht="24.5" customHeight="1" x14ac:dyDescent="0.35">
      <c r="B172" s="224"/>
      <c r="C172" s="92"/>
      <c r="D172" s="21" t="s">
        <v>82</v>
      </c>
      <c r="E172" s="116" t="s">
        <v>74</v>
      </c>
      <c r="F172" s="116" t="s">
        <v>75</v>
      </c>
      <c r="G172" s="74" t="s">
        <v>32</v>
      </c>
    </row>
    <row r="173" spans="1:64" ht="30" customHeight="1" x14ac:dyDescent="0.35">
      <c r="B173" s="224"/>
      <c r="C173" s="92"/>
      <c r="D173" s="1" t="s">
        <v>49</v>
      </c>
      <c r="E173" s="142">
        <v>5150000</v>
      </c>
      <c r="F173" s="146">
        <f>E173*$E$168</f>
        <v>740.26905545980765</v>
      </c>
      <c r="G173" s="162" t="s">
        <v>246</v>
      </c>
      <c r="H173" s="236"/>
      <c r="I173" s="163"/>
    </row>
    <row r="174" spans="1:64" ht="30" customHeight="1" x14ac:dyDescent="0.35">
      <c r="B174" s="224"/>
      <c r="C174" s="92"/>
      <c r="D174" s="1" t="s">
        <v>73</v>
      </c>
      <c r="E174" s="142">
        <v>3913500</v>
      </c>
      <c r="F174" s="146">
        <f t="shared" ref="F174:F178" si="0">E174*$E$168</f>
        <v>562.53261136737035</v>
      </c>
      <c r="G174" s="164"/>
      <c r="H174" s="237"/>
      <c r="I174" s="165"/>
    </row>
    <row r="175" spans="1:64" ht="30" customHeight="1" x14ac:dyDescent="0.35">
      <c r="B175" s="224"/>
      <c r="C175" s="92"/>
      <c r="D175" s="1" t="s">
        <v>29</v>
      </c>
      <c r="E175" s="142">
        <v>436510</v>
      </c>
      <c r="F175" s="146">
        <f t="shared" si="0"/>
        <v>62.744630174516629</v>
      </c>
      <c r="G175" s="164"/>
      <c r="H175" s="237"/>
      <c r="I175" s="165"/>
    </row>
    <row r="176" spans="1:64" ht="30" customHeight="1" x14ac:dyDescent="0.35">
      <c r="B176" s="224"/>
      <c r="C176" s="92"/>
      <c r="D176" s="1" t="s">
        <v>68</v>
      </c>
      <c r="E176" s="142">
        <v>774216</v>
      </c>
      <c r="F176" s="146">
        <f t="shared" si="0"/>
        <v>111.28701884308164</v>
      </c>
      <c r="G176" s="164"/>
      <c r="H176" s="237"/>
      <c r="I176" s="165"/>
    </row>
    <row r="177" spans="2:9" ht="30" customHeight="1" x14ac:dyDescent="0.35">
      <c r="B177" s="224"/>
      <c r="C177" s="92"/>
      <c r="D177" s="1" t="s">
        <v>30</v>
      </c>
      <c r="E177" s="142">
        <v>3968583</v>
      </c>
      <c r="F177" s="146">
        <f t="shared" si="0"/>
        <v>570.45032794637859</v>
      </c>
      <c r="G177" s="164"/>
      <c r="H177" s="237"/>
      <c r="I177" s="165"/>
    </row>
    <row r="178" spans="2:9" ht="30" customHeight="1" x14ac:dyDescent="0.35">
      <c r="B178" s="224"/>
      <c r="C178" s="92"/>
      <c r="D178" s="26" t="s">
        <v>31</v>
      </c>
      <c r="E178" s="157">
        <v>1424280.9000000001</v>
      </c>
      <c r="F178" s="147">
        <f t="shared" si="0"/>
        <v>204.7283643791155</v>
      </c>
      <c r="G178" s="166"/>
      <c r="H178" s="238"/>
      <c r="I178" s="167"/>
    </row>
    <row r="179" spans="2:9" ht="29.5" customHeight="1" x14ac:dyDescent="0.35">
      <c r="B179" s="224"/>
      <c r="C179" s="92"/>
      <c r="D179" s="1" t="s">
        <v>69</v>
      </c>
      <c r="E179" s="149">
        <f>SUM(E173:E178)</f>
        <v>15667089.9</v>
      </c>
      <c r="F179" s="148">
        <f>SUM(F173:F178)</f>
        <v>2252.0120081702703</v>
      </c>
      <c r="G179" s="239" t="s">
        <v>245</v>
      </c>
      <c r="H179" s="240"/>
      <c r="I179" s="241"/>
    </row>
    <row r="180" spans="2:9" x14ac:dyDescent="0.35">
      <c r="B180" s="224"/>
      <c r="C180" s="92"/>
      <c r="G180" s="2"/>
    </row>
    <row r="181" spans="2:9" ht="24" customHeight="1" x14ac:dyDescent="0.35">
      <c r="B181" s="224"/>
      <c r="C181" s="92"/>
      <c r="D181" s="21" t="s">
        <v>95</v>
      </c>
      <c r="E181" s="113" t="s">
        <v>8</v>
      </c>
    </row>
    <row r="182" spans="2:9" ht="26.5" customHeight="1" x14ac:dyDescent="0.35">
      <c r="B182" s="224"/>
      <c r="C182" s="92"/>
      <c r="D182" s="25" t="s">
        <v>90</v>
      </c>
      <c r="E182" s="27">
        <f t="shared" ref="E182:E187" si="1">E173/$E$179</f>
        <v>0.32871452406742108</v>
      </c>
      <c r="F182" s="202" t="s">
        <v>41</v>
      </c>
      <c r="G182" s="203"/>
      <c r="H182" s="2"/>
    </row>
    <row r="183" spans="2:9" ht="26.5" customHeight="1" x14ac:dyDescent="0.35">
      <c r="B183" s="224"/>
      <c r="C183" s="92"/>
      <c r="D183" s="25" t="s">
        <v>91</v>
      </c>
      <c r="E183" s="27">
        <f t="shared" si="1"/>
        <v>0.24979112425977718</v>
      </c>
      <c r="F183" s="202" t="s">
        <v>36</v>
      </c>
      <c r="G183" s="203"/>
      <c r="H183" s="2"/>
    </row>
    <row r="184" spans="2:9" ht="26.5" customHeight="1" x14ac:dyDescent="0.35">
      <c r="B184" s="224"/>
      <c r="C184" s="92"/>
      <c r="D184" s="25" t="s">
        <v>92</v>
      </c>
      <c r="E184" s="27">
        <f t="shared" si="1"/>
        <v>2.786158774770291E-2</v>
      </c>
      <c r="F184" s="202" t="s">
        <v>38</v>
      </c>
      <c r="G184" s="203"/>
    </row>
    <row r="185" spans="2:9" ht="26.5" customHeight="1" x14ac:dyDescent="0.35">
      <c r="B185" s="224"/>
      <c r="C185" s="92"/>
      <c r="D185" s="25" t="s">
        <v>93</v>
      </c>
      <c r="E185" s="27">
        <f t="shared" si="1"/>
        <v>4.941670756609369E-2</v>
      </c>
      <c r="F185" s="202" t="s">
        <v>37</v>
      </c>
      <c r="G185" s="203"/>
      <c r="H185" s="2"/>
    </row>
    <row r="186" spans="2:9" ht="26.5" customHeight="1" x14ac:dyDescent="0.35">
      <c r="B186" s="224"/>
      <c r="C186" s="92"/>
      <c r="D186" s="25" t="s">
        <v>94</v>
      </c>
      <c r="E186" s="27">
        <f t="shared" si="1"/>
        <v>0.25330696544991421</v>
      </c>
      <c r="F186" s="202" t="s">
        <v>39</v>
      </c>
      <c r="G186" s="203"/>
      <c r="H186" s="2"/>
    </row>
    <row r="187" spans="2:9" ht="26.5" customHeight="1" x14ac:dyDescent="0.35">
      <c r="B187" s="224"/>
      <c r="C187" s="92"/>
      <c r="D187" s="1" t="s">
        <v>70</v>
      </c>
      <c r="E187" s="28">
        <f t="shared" si="1"/>
        <v>9.0909090909090912E-2</v>
      </c>
      <c r="F187" s="202" t="s">
        <v>40</v>
      </c>
      <c r="G187" s="203"/>
      <c r="H187" s="2"/>
    </row>
    <row r="188" spans="2:9" ht="26.5" customHeight="1" x14ac:dyDescent="0.35">
      <c r="B188" s="29"/>
      <c r="C188" s="92"/>
      <c r="E188" s="30">
        <f>SUM(E182:E187)</f>
        <v>0.99999999999999989</v>
      </c>
      <c r="F188" s="202" t="s">
        <v>99</v>
      </c>
      <c r="G188" s="203"/>
      <c r="H188" s="13"/>
      <c r="I188" s="13"/>
    </row>
    <row r="189" spans="2:9" x14ac:dyDescent="0.35">
      <c r="B189" s="29"/>
      <c r="C189" s="92"/>
      <c r="G189" s="13"/>
      <c r="H189" s="13"/>
      <c r="I189" s="13"/>
    </row>
    <row r="190" spans="2:9" x14ac:dyDescent="0.35">
      <c r="B190" s="47"/>
      <c r="G190" s="13"/>
      <c r="H190" s="13"/>
      <c r="I190" s="13"/>
    </row>
    <row r="191" spans="2:9" x14ac:dyDescent="0.35">
      <c r="B191" s="47"/>
      <c r="G191" s="13"/>
      <c r="H191" s="13"/>
      <c r="I191" s="13"/>
    </row>
    <row r="192" spans="2:9" ht="24" customHeight="1" x14ac:dyDescent="0.35">
      <c r="B192" s="228" t="s">
        <v>10</v>
      </c>
      <c r="C192" s="92"/>
      <c r="E192" s="113" t="s">
        <v>11</v>
      </c>
      <c r="F192" s="113" t="s">
        <v>63</v>
      </c>
      <c r="G192" s="14"/>
      <c r="H192" s="14"/>
      <c r="I192" s="14"/>
    </row>
    <row r="193" spans="1:11" ht="43" customHeight="1" x14ac:dyDescent="0.35">
      <c r="B193" s="229"/>
      <c r="C193" s="92"/>
      <c r="D193" s="1" t="s">
        <v>105</v>
      </c>
      <c r="E193" s="97">
        <v>2</v>
      </c>
      <c r="F193" s="105">
        <v>2</v>
      </c>
      <c r="G193" s="225" t="s">
        <v>243</v>
      </c>
      <c r="H193" s="226"/>
      <c r="I193" s="227"/>
    </row>
    <row r="194" spans="1:11" ht="15.5" customHeight="1" x14ac:dyDescent="0.35">
      <c r="B194" s="31"/>
      <c r="C194" s="92"/>
      <c r="G194" s="13"/>
      <c r="H194" s="13"/>
      <c r="I194" s="13"/>
    </row>
    <row r="195" spans="1:11" ht="24.5" customHeight="1" x14ac:dyDescent="0.35">
      <c r="B195" s="204" t="s">
        <v>104</v>
      </c>
      <c r="C195" s="90"/>
      <c r="E195" s="113" t="s">
        <v>84</v>
      </c>
      <c r="G195" s="14"/>
      <c r="H195" s="14"/>
      <c r="I195" s="14"/>
    </row>
    <row r="196" spans="1:11" ht="35.5" customHeight="1" x14ac:dyDescent="0.35">
      <c r="B196" s="207"/>
      <c r="C196" s="90"/>
      <c r="D196" s="1" t="s">
        <v>83</v>
      </c>
      <c r="E196" s="105">
        <v>1.76</v>
      </c>
      <c r="F196" s="225" t="s">
        <v>244</v>
      </c>
      <c r="G196" s="226"/>
      <c r="H196" s="226"/>
      <c r="I196" s="227"/>
    </row>
    <row r="197" spans="1:11" x14ac:dyDescent="0.35">
      <c r="B197" s="14"/>
      <c r="G197" s="2"/>
    </row>
    <row r="198" spans="1:11" ht="24" customHeight="1" x14ac:dyDescent="0.35">
      <c r="B198" s="204" t="s">
        <v>260</v>
      </c>
      <c r="D198" s="21" t="s">
        <v>96</v>
      </c>
      <c r="E198" s="113" t="s">
        <v>6</v>
      </c>
      <c r="F198" s="116" t="s">
        <v>51</v>
      </c>
    </row>
    <row r="199" spans="1:11" ht="32" customHeight="1" x14ac:dyDescent="0.35">
      <c r="B199" s="207"/>
      <c r="D199" s="1" t="s">
        <v>97</v>
      </c>
      <c r="E199" s="150">
        <f>E179/E196</f>
        <v>8901755.625</v>
      </c>
      <c r="F199" s="155">
        <f>F179/E196</f>
        <v>1279.5522773694718</v>
      </c>
      <c r="G199" s="225" t="s">
        <v>289</v>
      </c>
      <c r="H199" s="226"/>
      <c r="I199" s="227"/>
    </row>
    <row r="200" spans="1:11" x14ac:dyDescent="0.35">
      <c r="B200" s="14"/>
      <c r="G200" s="2"/>
    </row>
    <row r="201" spans="1:11" x14ac:dyDescent="0.35">
      <c r="B201" s="14"/>
      <c r="G201" s="2"/>
    </row>
    <row r="202" spans="1:11" ht="14.5" thickBot="1" x14ac:dyDescent="0.4">
      <c r="A202" s="36"/>
      <c r="B202" s="33"/>
      <c r="C202" s="93"/>
      <c r="D202" s="34"/>
      <c r="E202" s="34"/>
      <c r="F202" s="34"/>
      <c r="G202" s="35"/>
      <c r="H202" s="34"/>
      <c r="I202" s="34"/>
      <c r="J202" s="34"/>
      <c r="K202" s="34"/>
    </row>
    <row r="203" spans="1:11" x14ac:dyDescent="0.35">
      <c r="A203" s="37"/>
      <c r="B203" s="14"/>
      <c r="G203" s="2"/>
    </row>
    <row r="204" spans="1:11" ht="25" x14ac:dyDescent="0.35">
      <c r="B204" s="55" t="s">
        <v>35</v>
      </c>
      <c r="C204" s="57"/>
      <c r="D204" s="57"/>
      <c r="E204" s="57"/>
      <c r="F204" s="57"/>
      <c r="G204" s="57"/>
      <c r="H204" s="57"/>
      <c r="I204" s="57"/>
      <c r="J204" s="57"/>
    </row>
    <row r="205" spans="1:11" ht="25.75" customHeight="1" x14ac:dyDescent="0.35">
      <c r="B205" s="40" t="s">
        <v>32</v>
      </c>
      <c r="C205" s="40"/>
      <c r="D205" s="41" t="s">
        <v>261</v>
      </c>
      <c r="E205" s="42"/>
      <c r="F205" s="43"/>
      <c r="G205" s="44"/>
      <c r="H205" s="44"/>
      <c r="I205" s="44"/>
      <c r="J205" s="44"/>
    </row>
    <row r="206" spans="1:11" ht="20.5" customHeight="1" x14ac:dyDescent="0.35"/>
    <row r="207" spans="1:11" ht="23.5" customHeight="1" x14ac:dyDescent="0.35"/>
    <row r="208" spans="1:11" ht="25.5" customHeight="1" x14ac:dyDescent="0.35">
      <c r="B208" s="222" t="s">
        <v>50</v>
      </c>
      <c r="C208" s="92"/>
      <c r="D208" s="21" t="s">
        <v>108</v>
      </c>
      <c r="E208" s="116" t="s">
        <v>6</v>
      </c>
      <c r="F208" s="117" t="s">
        <v>7</v>
      </c>
      <c r="G208" s="117" t="s">
        <v>3</v>
      </c>
      <c r="H208" s="112" t="s">
        <v>4</v>
      </c>
      <c r="I208" s="242" t="s">
        <v>32</v>
      </c>
      <c r="J208" s="215"/>
    </row>
    <row r="209" spans="1:11" ht="41" customHeight="1" x14ac:dyDescent="0.35">
      <c r="B209" s="222"/>
      <c r="C209" s="92"/>
      <c r="D209" s="1" t="s">
        <v>27</v>
      </c>
      <c r="E209" s="141">
        <v>636559.09499999997</v>
      </c>
      <c r="F209" s="153">
        <f>E209*$E$168</f>
        <v>91.499999999999986</v>
      </c>
      <c r="G209" s="150">
        <f>E209*$E$196</f>
        <v>1120344.0071999999</v>
      </c>
      <c r="H209" s="155">
        <f>F209*$E$196</f>
        <v>161.03999999999996</v>
      </c>
      <c r="I209" s="230" t="s">
        <v>102</v>
      </c>
      <c r="J209" s="231"/>
    </row>
    <row r="210" spans="1:11" ht="41" customHeight="1" x14ac:dyDescent="0.35">
      <c r="B210" s="222"/>
      <c r="C210" s="92"/>
      <c r="D210" s="1" t="s">
        <v>28</v>
      </c>
      <c r="E210" s="141">
        <v>891182.73300000001</v>
      </c>
      <c r="F210" s="153">
        <f>E210*$E$168</f>
        <v>128.1</v>
      </c>
      <c r="G210" s="150">
        <f>E210*$E$196</f>
        <v>1568481.61008</v>
      </c>
      <c r="H210" s="155">
        <f>F210*$E$196</f>
        <v>225.45599999999999</v>
      </c>
      <c r="I210" s="234"/>
      <c r="J210" s="235"/>
    </row>
    <row r="211" spans="1:11" x14ac:dyDescent="0.35">
      <c r="B211" s="222"/>
      <c r="C211" s="92"/>
      <c r="E211" s="151"/>
      <c r="F211" s="154"/>
      <c r="G211" s="152"/>
      <c r="H211" s="154"/>
      <c r="I211" s="47"/>
      <c r="J211" s="47"/>
      <c r="K211" s="47"/>
    </row>
    <row r="212" spans="1:11" ht="24" customHeight="1" x14ac:dyDescent="0.35">
      <c r="B212" s="222"/>
      <c r="C212" s="92"/>
      <c r="D212" s="75" t="s">
        <v>109</v>
      </c>
      <c r="E212" s="151"/>
      <c r="F212" s="154"/>
      <c r="G212" s="152"/>
      <c r="H212" s="154"/>
      <c r="I212" s="47"/>
      <c r="J212" s="47"/>
    </row>
    <row r="213" spans="1:11" ht="25.25" customHeight="1" x14ac:dyDescent="0.35">
      <c r="B213" s="222"/>
      <c r="C213" s="92"/>
      <c r="D213" s="1" t="s">
        <v>5</v>
      </c>
      <c r="E213" s="141">
        <v>4960000</v>
      </c>
      <c r="F213" s="153">
        <f>E213*$E$168</f>
        <v>712.95815826808666</v>
      </c>
      <c r="G213" s="150">
        <f t="shared" ref="G213:H216" si="2">E213*$E$196</f>
        <v>8729600</v>
      </c>
      <c r="H213" s="155">
        <f t="shared" si="2"/>
        <v>1254.8063585518325</v>
      </c>
      <c r="I213" s="230" t="s">
        <v>101</v>
      </c>
      <c r="J213" s="231"/>
    </row>
    <row r="214" spans="1:11" ht="25.25" customHeight="1" x14ac:dyDescent="0.35">
      <c r="B214" s="222"/>
      <c r="C214" s="92"/>
      <c r="D214" s="1" t="s">
        <v>86</v>
      </c>
      <c r="E214" s="141">
        <v>13290000</v>
      </c>
      <c r="F214" s="153">
        <f>E214*$E$168</f>
        <v>1910.3253877788047</v>
      </c>
      <c r="G214" s="150">
        <f t="shared" si="2"/>
        <v>23390400</v>
      </c>
      <c r="H214" s="155">
        <f t="shared" si="2"/>
        <v>3362.1726824906964</v>
      </c>
      <c r="I214" s="232"/>
      <c r="J214" s="233"/>
    </row>
    <row r="215" spans="1:11" ht="25.25" customHeight="1" x14ac:dyDescent="0.35">
      <c r="B215" s="222"/>
      <c r="C215" s="92"/>
      <c r="D215" s="1" t="s">
        <v>87</v>
      </c>
      <c r="E215" s="141">
        <v>5857296</v>
      </c>
      <c r="F215" s="153">
        <f>E215*$E$168</f>
        <v>841.9368888288368</v>
      </c>
      <c r="G215" s="150">
        <f t="shared" si="2"/>
        <v>10308840.960000001</v>
      </c>
      <c r="H215" s="155">
        <f t="shared" si="2"/>
        <v>1481.8089243387528</v>
      </c>
      <c r="I215" s="232"/>
      <c r="J215" s="233"/>
    </row>
    <row r="216" spans="1:11" ht="25.25" customHeight="1" x14ac:dyDescent="0.35">
      <c r="B216" s="222"/>
      <c r="C216" s="92"/>
      <c r="D216" s="1" t="s">
        <v>88</v>
      </c>
      <c r="E216" s="97"/>
      <c r="F216" s="153">
        <f>E216*$E$168</f>
        <v>0</v>
      </c>
      <c r="G216" s="20">
        <f t="shared" si="2"/>
        <v>0</v>
      </c>
      <c r="H216" s="155">
        <f t="shared" si="2"/>
        <v>0</v>
      </c>
      <c r="I216" s="234"/>
      <c r="J216" s="235"/>
    </row>
    <row r="217" spans="1:11" x14ac:dyDescent="0.35">
      <c r="I217" s="2"/>
    </row>
    <row r="218" spans="1:11" x14ac:dyDescent="0.35">
      <c r="I218" s="2"/>
    </row>
    <row r="219" spans="1:11" ht="14.5" thickBot="1" x14ac:dyDescent="0.4">
      <c r="A219" s="36"/>
      <c r="B219" s="23"/>
      <c r="C219" s="91"/>
      <c r="D219" s="34"/>
      <c r="E219" s="34"/>
      <c r="F219" s="34"/>
      <c r="G219" s="34"/>
      <c r="H219" s="34"/>
      <c r="I219" s="34"/>
      <c r="J219" s="34"/>
      <c r="K219" s="34"/>
    </row>
    <row r="220" spans="1:11" x14ac:dyDescent="0.35">
      <c r="A220" s="37"/>
      <c r="B220" s="22"/>
      <c r="C220" s="90"/>
    </row>
  </sheetData>
  <mergeCells count="53">
    <mergeCell ref="B208:B216"/>
    <mergeCell ref="B195:B196"/>
    <mergeCell ref="B171:B187"/>
    <mergeCell ref="F196:I196"/>
    <mergeCell ref="B192:B193"/>
    <mergeCell ref="I213:J216"/>
    <mergeCell ref="G193:I193"/>
    <mergeCell ref="G173:I178"/>
    <mergeCell ref="G199:I199"/>
    <mergeCell ref="G179:I179"/>
    <mergeCell ref="I209:J210"/>
    <mergeCell ref="I208:J208"/>
    <mergeCell ref="B198:B199"/>
    <mergeCell ref="F182:G182"/>
    <mergeCell ref="F183:G183"/>
    <mergeCell ref="F184:G184"/>
    <mergeCell ref="E113:G113"/>
    <mergeCell ref="B50:B101"/>
    <mergeCell ref="B104:B114"/>
    <mergeCell ref="E106:G106"/>
    <mergeCell ref="B167:B168"/>
    <mergeCell ref="F168:H168"/>
    <mergeCell ref="H105:H113"/>
    <mergeCell ref="F167:H167"/>
    <mergeCell ref="E112:G112"/>
    <mergeCell ref="E108:G108"/>
    <mergeCell ref="E109:G109"/>
    <mergeCell ref="E110:G110"/>
    <mergeCell ref="E111:G111"/>
    <mergeCell ref="H136:I143"/>
    <mergeCell ref="H146:I153"/>
    <mergeCell ref="B117:B129"/>
    <mergeCell ref="F185:G185"/>
    <mergeCell ref="F186:G186"/>
    <mergeCell ref="F187:G187"/>
    <mergeCell ref="F188:G188"/>
    <mergeCell ref="B132:B160"/>
    <mergeCell ref="I75:J77"/>
    <mergeCell ref="F124:G128"/>
    <mergeCell ref="B20:B47"/>
    <mergeCell ref="E104:G104"/>
    <mergeCell ref="F18:G18"/>
    <mergeCell ref="F24:G26"/>
    <mergeCell ref="F73:H73"/>
    <mergeCell ref="F62:G64"/>
    <mergeCell ref="F68:G70"/>
    <mergeCell ref="F38:G40"/>
    <mergeCell ref="F44:G45"/>
    <mergeCell ref="F30:G34"/>
    <mergeCell ref="F52:G55"/>
    <mergeCell ref="E107:G107"/>
    <mergeCell ref="F80:G88"/>
    <mergeCell ref="F92:G10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3A366EA3-A39C-4034-A0A8-5B538A0FAD63}"/>
</file>

<file path=customXml/itemProps2.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3.xml><?xml version="1.0" encoding="utf-8"?>
<ds:datastoreItem xmlns:ds="http://schemas.openxmlformats.org/officeDocument/2006/customXml" ds:itemID="{8D0B7649-418F-4439-92B3-256A699B8C87}">
  <ds:schemaRefs>
    <ds:schemaRef ds:uri="http://schemas.microsoft.com/office/2006/metadata/properties"/>
    <ds:schemaRef ds:uri="http://schemas.microsoft.com/office/infopath/2007/PartnerControls"/>
    <ds:schemaRef ds:uri="51f63895-28f9-4175-a825-5bde9070b679"/>
    <ds:schemaRef ds:uri="f0d48655-a11b-4945-b13c-6be81a789f1b"/>
    <ds:schemaRef ds:uri="c0e6fccf-d412-41ce-92e1-f52d1a6e1c63"/>
    <ds:schemaRef ds:uri="f5fb090d-eab1-4403-aa07-dae045dc1122"/>
  </ds:schemaRefs>
</ds:datastoreItem>
</file>

<file path=customXml/itemProps4.xml><?xml version="1.0" encoding="utf-8"?>
<ds:datastoreItem xmlns:ds="http://schemas.openxmlformats.org/officeDocument/2006/customXml" ds:itemID="{588A0022-3364-4F36-BDD2-86B7783717DA}">
  <ds:schemaRefs/>
</ds:datastoreItem>
</file>

<file path=customXml/itemProps5.xml><?xml version="1.0" encoding="utf-8"?>
<ds:datastoreItem xmlns:ds="http://schemas.openxmlformats.org/officeDocument/2006/customXml" ds:itemID="{5DB285FC-7024-43F5-A31F-00A5BA4E791F}">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 (optional)</vt:lpstr>
      <vt:lpstr>2) Final 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2024-04-11T08:02:05Z</dcterms:created>
  <dcterms:modified xsi:type="dcterms:W3CDTF">2025-09-22T15:19:44Z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